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m995822\Desktop\"/>
    </mc:Choice>
  </mc:AlternateContent>
  <bookViews>
    <workbookView xWindow="0" yWindow="0" windowWidth="16095" windowHeight="6855" tabRatio="762"/>
  </bookViews>
  <sheets>
    <sheet name="Intro" sheetId="37" r:id="rId1"/>
    <sheet name="Focus" sheetId="1" r:id="rId2"/>
    <sheet name="G &amp; S" sheetId="2" r:id="rId3"/>
    <sheet name="G &amp; S Initial" sheetId="45" r:id="rId4"/>
    <sheet name="G &amp; S Projections" sheetId="4" r:id="rId5"/>
    <sheet name="Indicators" sheetId="3" r:id="rId6"/>
    <sheet name="Cost Initial" sheetId="46" r:id="rId7"/>
    <sheet name="Cost Projections" sheetId="10" r:id="rId8"/>
    <sheet name="Values" sheetId="5" r:id="rId9"/>
    <sheet name="Health Benefits" sheetId="48" r:id="rId10"/>
    <sheet name="Capitals" sheetId="49" r:id="rId11"/>
    <sheet name="X G &amp; S Value" sheetId="7" r:id="rId12"/>
    <sheet name="X Net Asset Value" sheetId="41" r:id="rId13"/>
    <sheet name="X Economy Contrib" sheetId="53" r:id="rId14"/>
    <sheet name="Tip Prin" sheetId="39" r:id="rId15"/>
    <sheet name="Tip Tenant" sheetId="44" r:id="rId16"/>
    <sheet name="Tip Entering" sheetId="40" r:id="rId17"/>
    <sheet name="Tip G&amp;S" sheetId="26" r:id="rId18"/>
    <sheet name="Tip G&amp;SInitial" sheetId="30" r:id="rId19"/>
    <sheet name="Tip QuantInd" sheetId="27" r:id="rId20"/>
    <sheet name="Tip QualInd" sheetId="28" r:id="rId21"/>
    <sheet name="Tip OthInd" sheetId="29" r:id="rId22"/>
    <sheet name="Tip CostInitial" sheetId="34" r:id="rId23"/>
    <sheet name="Tip HEAT" sheetId="52" r:id="rId24"/>
    <sheet name="Tip Capitals" sheetId="51" r:id="rId25"/>
    <sheet name="X Graph Data &amp; Checks" sheetId="42" r:id="rId26"/>
  </sheets>
  <definedNames>
    <definedName name="_ftn1" localSheetId="13">'X Economy Contrib'!$B$176</definedName>
    <definedName name="_ftnref1" localSheetId="13">'X Economy Contrib'!$B$172</definedName>
    <definedName name="_GoBack" localSheetId="10">Capitals!$B$2</definedName>
    <definedName name="AccountInclusion">'G &amp; S'!#REF!</definedName>
    <definedName name="EnvGSLevel">'G &amp; S'!$D$14:$D$16</definedName>
    <definedName name="Recipient">'X G &amp; S Value'!$BV$4:$BV$16</definedName>
  </definedNames>
  <calcPr calcId="181029"/>
  <customWorkbookViews>
    <customWorkbookView name="m303700 - Personal View" guid="{F0620CD8-87A9-448D-9A15-FA44C9D2FC91}" mergeInterval="0" personalView="1" maximized="1" windowWidth="1276" windowHeight="463" tabRatio="79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5" i="5" l="1"/>
  <c r="G94" i="5"/>
  <c r="G93" i="5"/>
  <c r="G92" i="5"/>
  <c r="G91" i="5"/>
  <c r="G90" i="5"/>
  <c r="C143" i="53" l="1"/>
  <c r="D136" i="53" s="1"/>
  <c r="C130" i="53"/>
  <c r="E123" i="53" s="1"/>
  <c r="H112" i="53"/>
  <c r="E112" i="53"/>
  <c r="B112" i="53"/>
  <c r="H111" i="53"/>
  <c r="E111" i="53"/>
  <c r="B111" i="53"/>
  <c r="B110" i="53"/>
  <c r="B109" i="53"/>
  <c r="H108" i="53"/>
  <c r="E108" i="53"/>
  <c r="B108" i="53"/>
  <c r="H107" i="53"/>
  <c r="E107" i="53"/>
  <c r="B107" i="53"/>
  <c r="H106" i="53"/>
  <c r="E106" i="53"/>
  <c r="B106" i="53"/>
  <c r="D94" i="53"/>
  <c r="D112" i="53" s="1"/>
  <c r="B94" i="53"/>
  <c r="D93" i="53"/>
  <c r="D111" i="53" s="1"/>
  <c r="B93" i="53"/>
  <c r="D92" i="53"/>
  <c r="D110" i="53" s="1"/>
  <c r="B92" i="53"/>
  <c r="D91" i="53"/>
  <c r="G91" i="53" s="1"/>
  <c r="G109" i="53" s="1"/>
  <c r="B91" i="53"/>
  <c r="D90" i="53"/>
  <c r="D108" i="53" s="1"/>
  <c r="B90" i="53"/>
  <c r="G89" i="53"/>
  <c r="G107" i="53" s="1"/>
  <c r="D89" i="53"/>
  <c r="D107" i="53" s="1"/>
  <c r="B89" i="53"/>
  <c r="D88" i="53"/>
  <c r="B88" i="53"/>
  <c r="F84" i="53"/>
  <c r="C84" i="53"/>
  <c r="E79" i="53"/>
  <c r="C62" i="53"/>
  <c r="H54" i="53" s="1"/>
  <c r="L59" i="53"/>
  <c r="L58" i="53"/>
  <c r="K54" i="53"/>
  <c r="G84" i="53" s="1"/>
  <c r="G102" i="53" s="1"/>
  <c r="I54" i="53"/>
  <c r="M54" i="53" s="1"/>
  <c r="C22" i="53"/>
  <c r="I4" i="41"/>
  <c r="C66" i="7"/>
  <c r="W53" i="7" s="1"/>
  <c r="W54" i="7"/>
  <c r="Y51" i="7"/>
  <c r="W49" i="7"/>
  <c r="W48" i="7"/>
  <c r="W46" i="7"/>
  <c r="W45" i="7"/>
  <c r="W44" i="7"/>
  <c r="Y43" i="7"/>
  <c r="W41" i="7"/>
  <c r="W40" i="7"/>
  <c r="Y39" i="7"/>
  <c r="Y38" i="7"/>
  <c r="W37" i="7"/>
  <c r="W35" i="7"/>
  <c r="W33" i="7"/>
  <c r="Y32" i="7"/>
  <c r="Y30" i="7"/>
  <c r="V30" i="7"/>
  <c r="U30" i="7"/>
  <c r="T30" i="7"/>
  <c r="S30" i="7"/>
  <c r="R30" i="7"/>
  <c r="Q30" i="7"/>
  <c r="P30" i="7"/>
  <c r="O30" i="7"/>
  <c r="N30" i="7"/>
  <c r="M30" i="7"/>
  <c r="L30" i="7"/>
  <c r="K30" i="7"/>
  <c r="J30" i="7"/>
  <c r="I30" i="7"/>
  <c r="H30" i="7"/>
  <c r="G30" i="7"/>
  <c r="F30" i="7"/>
  <c r="E30" i="7"/>
  <c r="D30" i="7"/>
  <c r="B30" i="7"/>
  <c r="Y29" i="7"/>
  <c r="V29" i="7"/>
  <c r="U29" i="7"/>
  <c r="T29" i="7"/>
  <c r="S29" i="7"/>
  <c r="R29" i="7"/>
  <c r="Q29" i="7"/>
  <c r="P29" i="7"/>
  <c r="O29" i="7"/>
  <c r="N29" i="7"/>
  <c r="M29" i="7"/>
  <c r="L29" i="7"/>
  <c r="K29" i="7"/>
  <c r="J29" i="7"/>
  <c r="I29" i="7"/>
  <c r="H29" i="7"/>
  <c r="G29" i="7"/>
  <c r="F29" i="7"/>
  <c r="E29" i="7"/>
  <c r="D29" i="7"/>
  <c r="B29" i="7"/>
  <c r="Y28" i="7"/>
  <c r="V28" i="7"/>
  <c r="U28" i="7"/>
  <c r="T28" i="7"/>
  <c r="S28" i="7"/>
  <c r="R28" i="7"/>
  <c r="Q28" i="7"/>
  <c r="P28" i="7"/>
  <c r="O28" i="7"/>
  <c r="N28" i="7"/>
  <c r="M28" i="7"/>
  <c r="L28" i="7"/>
  <c r="K28" i="7"/>
  <c r="J28" i="7"/>
  <c r="I28" i="7"/>
  <c r="H28" i="7"/>
  <c r="G28" i="7"/>
  <c r="F28" i="7"/>
  <c r="E28" i="7"/>
  <c r="D28" i="7"/>
  <c r="B28" i="7"/>
  <c r="Y27" i="7"/>
  <c r="V27" i="7"/>
  <c r="U27" i="7"/>
  <c r="T27" i="7"/>
  <c r="S27" i="7"/>
  <c r="R27" i="7"/>
  <c r="Q27" i="7"/>
  <c r="P27" i="7"/>
  <c r="O27" i="7"/>
  <c r="N27" i="7"/>
  <c r="M27" i="7"/>
  <c r="L27" i="7"/>
  <c r="K27" i="7"/>
  <c r="J27" i="7"/>
  <c r="I27" i="7"/>
  <c r="H27" i="7"/>
  <c r="G27" i="7"/>
  <c r="F27" i="7"/>
  <c r="E27" i="7"/>
  <c r="D27" i="7"/>
  <c r="B27" i="7"/>
  <c r="Y26" i="7"/>
  <c r="V26" i="7"/>
  <c r="U26" i="7"/>
  <c r="T26" i="7"/>
  <c r="S26" i="7"/>
  <c r="R26" i="7"/>
  <c r="Q26" i="7"/>
  <c r="P26" i="7"/>
  <c r="O26" i="7"/>
  <c r="N26" i="7"/>
  <c r="M26" i="7"/>
  <c r="L26" i="7"/>
  <c r="K26" i="7"/>
  <c r="J26" i="7"/>
  <c r="I26" i="7"/>
  <c r="H26" i="7"/>
  <c r="G26" i="7"/>
  <c r="F26" i="7"/>
  <c r="E26" i="7"/>
  <c r="D26" i="7"/>
  <c r="B26" i="7"/>
  <c r="Y25" i="7"/>
  <c r="B25" i="7"/>
  <c r="Y24" i="7"/>
  <c r="B24" i="7"/>
  <c r="Y23" i="7"/>
  <c r="C16" i="7"/>
  <c r="C8" i="49"/>
  <c r="D132" i="48"/>
  <c r="C112" i="48"/>
  <c r="C111" i="48"/>
  <c r="C110" i="48"/>
  <c r="C97" i="48"/>
  <c r="C94" i="48"/>
  <c r="D43" i="48"/>
  <c r="C43" i="48"/>
  <c r="C35" i="48"/>
  <c r="C39" i="48" s="1"/>
  <c r="C28" i="48"/>
  <c r="C12" i="48"/>
  <c r="D281" i="5"/>
  <c r="D280" i="5"/>
  <c r="D279" i="5"/>
  <c r="C278" i="5"/>
  <c r="F244" i="5"/>
  <c r="G244" i="5" s="1"/>
  <c r="H244" i="5" s="1"/>
  <c r="I244" i="5" s="1"/>
  <c r="J244" i="5" s="1"/>
  <c r="K244" i="5" s="1"/>
  <c r="L244" i="5" s="1"/>
  <c r="M244" i="5" s="1"/>
  <c r="N244" i="5" s="1"/>
  <c r="O244" i="5" s="1"/>
  <c r="P244" i="5" s="1"/>
  <c r="Q244" i="5" s="1"/>
  <c r="R244" i="5" s="1"/>
  <c r="S244" i="5" s="1"/>
  <c r="T244" i="5" s="1"/>
  <c r="U244" i="5" s="1"/>
  <c r="V244" i="5" s="1"/>
  <c r="W244" i="5" s="1"/>
  <c r="X244" i="5" s="1"/>
  <c r="Y244" i="5" s="1"/>
  <c r="Z244" i="5" s="1"/>
  <c r="AA244" i="5" s="1"/>
  <c r="AB244" i="5" s="1"/>
  <c r="AC244" i="5" s="1"/>
  <c r="AD244" i="5" s="1"/>
  <c r="AE244" i="5" s="1"/>
  <c r="AF244" i="5" s="1"/>
  <c r="AG244" i="5" s="1"/>
  <c r="AH244" i="5" s="1"/>
  <c r="AI244" i="5" s="1"/>
  <c r="AJ244" i="5" s="1"/>
  <c r="AK244" i="5" s="1"/>
  <c r="AL244" i="5" s="1"/>
  <c r="E231" i="5"/>
  <c r="E230" i="5"/>
  <c r="E229" i="5"/>
  <c r="E228" i="5"/>
  <c r="E211" i="5"/>
  <c r="E215" i="5" s="1"/>
  <c r="F196" i="5"/>
  <c r="D180" i="5"/>
  <c r="E214" i="5" s="1"/>
  <c r="D179" i="5"/>
  <c r="E217" i="5" s="1"/>
  <c r="P147" i="5"/>
  <c r="Q147" i="5" s="1"/>
  <c r="P146" i="5"/>
  <c r="Q146" i="5" s="1"/>
  <c r="C157" i="53" s="1"/>
  <c r="G119" i="5"/>
  <c r="G118" i="5"/>
  <c r="G117" i="5"/>
  <c r="G116" i="5"/>
  <c r="H115" i="5"/>
  <c r="G115" i="5"/>
  <c r="H114" i="5"/>
  <c r="G114" i="5"/>
  <c r="G113" i="5"/>
  <c r="F113" i="5"/>
  <c r="H113" i="5" s="1"/>
  <c r="G112" i="5"/>
  <c r="G111" i="5"/>
  <c r="G110" i="5"/>
  <c r="G109" i="5"/>
  <c r="G108" i="5"/>
  <c r="G107" i="5"/>
  <c r="G106" i="5"/>
  <c r="G105" i="5"/>
  <c r="G104" i="5"/>
  <c r="G103" i="5"/>
  <c r="G101" i="5"/>
  <c r="G100" i="5"/>
  <c r="G99" i="5"/>
  <c r="G98" i="5"/>
  <c r="G97" i="5"/>
  <c r="E95" i="5"/>
  <c r="E94" i="5"/>
  <c r="E93" i="5"/>
  <c r="E92" i="5"/>
  <c r="E91" i="5"/>
  <c r="E90" i="5"/>
  <c r="G89" i="5"/>
  <c r="G88" i="5"/>
  <c r="B88" i="5"/>
  <c r="B23" i="7" s="1"/>
  <c r="E58" i="5"/>
  <c r="E56" i="5"/>
  <c r="F32" i="5"/>
  <c r="F25" i="5"/>
  <c r="F33" i="5" s="1"/>
  <c r="C10" i="5"/>
  <c r="C73" i="10"/>
  <c r="C80" i="10" s="1"/>
  <c r="C70" i="10"/>
  <c r="AA55" i="10"/>
  <c r="Y55" i="10"/>
  <c r="V55" i="10"/>
  <c r="S55" i="10"/>
  <c r="Q55" i="10"/>
  <c r="N55" i="10"/>
  <c r="K55" i="10"/>
  <c r="I55" i="10"/>
  <c r="H55" i="10"/>
  <c r="X55" i="10" s="1"/>
  <c r="AA54" i="10"/>
  <c r="Y54" i="10"/>
  <c r="V54" i="10"/>
  <c r="S54" i="10"/>
  <c r="Q54" i="10"/>
  <c r="N54" i="10"/>
  <c r="K54" i="10"/>
  <c r="I54" i="10"/>
  <c r="H54" i="10"/>
  <c r="X54" i="10" s="1"/>
  <c r="AA53" i="10"/>
  <c r="Y53" i="10"/>
  <c r="V53" i="10"/>
  <c r="S53" i="10"/>
  <c r="Q53" i="10"/>
  <c r="N53" i="10"/>
  <c r="K53" i="10"/>
  <c r="I53" i="10"/>
  <c r="H53" i="10"/>
  <c r="X53" i="10" s="1"/>
  <c r="AA52" i="10"/>
  <c r="Y52" i="10"/>
  <c r="V52" i="10"/>
  <c r="S52" i="10"/>
  <c r="Q52" i="10"/>
  <c r="N52" i="10"/>
  <c r="K52" i="10"/>
  <c r="I52" i="10"/>
  <c r="H52" i="10"/>
  <c r="X52" i="10" s="1"/>
  <c r="AB51" i="10"/>
  <c r="H51" i="10"/>
  <c r="R48" i="10"/>
  <c r="H48" i="10"/>
  <c r="V47" i="10"/>
  <c r="L47" i="10"/>
  <c r="H47" i="10"/>
  <c r="X47" i="10" s="1"/>
  <c r="AA46" i="10"/>
  <c r="Z46" i="10"/>
  <c r="Y46" i="10"/>
  <c r="X46" i="10"/>
  <c r="W46" i="10"/>
  <c r="V46" i="10"/>
  <c r="U46" i="10"/>
  <c r="T46" i="10"/>
  <c r="S46" i="10"/>
  <c r="R46" i="10"/>
  <c r="Q46" i="10"/>
  <c r="P46" i="10"/>
  <c r="O46" i="10"/>
  <c r="N46" i="10"/>
  <c r="M46" i="10"/>
  <c r="L46" i="10"/>
  <c r="K46" i="10"/>
  <c r="J46" i="10"/>
  <c r="H46" i="10"/>
  <c r="Y45" i="10"/>
  <c r="T45" i="10"/>
  <c r="O45" i="10"/>
  <c r="I45" i="10"/>
  <c r="H45" i="10"/>
  <c r="W45" i="10" s="1"/>
  <c r="H42" i="10"/>
  <c r="Y39" i="10"/>
  <c r="R39" i="10"/>
  <c r="M39" i="10"/>
  <c r="H39" i="10"/>
  <c r="W38" i="10"/>
  <c r="R38" i="10"/>
  <c r="M38" i="10"/>
  <c r="H38" i="10"/>
  <c r="T36" i="10"/>
  <c r="L36" i="10"/>
  <c r="H36" i="10"/>
  <c r="U36" i="10" s="1"/>
  <c r="H35" i="10"/>
  <c r="T34" i="10"/>
  <c r="L34" i="10"/>
  <c r="H34" i="10"/>
  <c r="U34" i="10" s="1"/>
  <c r="C4" i="10"/>
  <c r="H52" i="46"/>
  <c r="H26" i="46"/>
  <c r="C10" i="46"/>
  <c r="C9" i="3"/>
  <c r="N51" i="4"/>
  <c r="E51" i="4"/>
  <c r="C51" i="4"/>
  <c r="B51" i="4"/>
  <c r="B119" i="5" s="1"/>
  <c r="B54" i="7" s="1"/>
  <c r="W50" i="4"/>
  <c r="R50" i="4"/>
  <c r="L50" i="4"/>
  <c r="G50" i="4"/>
  <c r="E50" i="4"/>
  <c r="U50" i="4" s="1"/>
  <c r="C50" i="4"/>
  <c r="B50" i="4"/>
  <c r="B118" i="5" s="1"/>
  <c r="B53" i="7" s="1"/>
  <c r="E49" i="4"/>
  <c r="J49" i="4" s="1"/>
  <c r="C49" i="4"/>
  <c r="B49" i="4"/>
  <c r="B117" i="5" s="1"/>
  <c r="B52" i="7" s="1"/>
  <c r="T48" i="4"/>
  <c r="O48" i="4"/>
  <c r="J48" i="4"/>
  <c r="E48" i="4"/>
  <c r="C48" i="4"/>
  <c r="B48" i="4"/>
  <c r="B116" i="5" s="1"/>
  <c r="B51" i="7" s="1"/>
  <c r="T47" i="4"/>
  <c r="I47" i="4"/>
  <c r="E47" i="4"/>
  <c r="X47" i="4" s="1"/>
  <c r="C47" i="4"/>
  <c r="B47" i="4"/>
  <c r="B115" i="5" s="1"/>
  <c r="B50" i="7" s="1"/>
  <c r="O46" i="4"/>
  <c r="J46" i="4"/>
  <c r="G46" i="4"/>
  <c r="E46" i="4"/>
  <c r="C46" i="4"/>
  <c r="B46" i="4"/>
  <c r="B114" i="5" s="1"/>
  <c r="B49" i="7" s="1"/>
  <c r="R45" i="4"/>
  <c r="M45" i="4"/>
  <c r="H45" i="4"/>
  <c r="E45" i="4"/>
  <c r="T45" i="4" s="1"/>
  <c r="C45" i="4"/>
  <c r="B45" i="4"/>
  <c r="B113" i="5" s="1"/>
  <c r="B48" i="7" s="1"/>
  <c r="X44" i="4"/>
  <c r="V44" i="4"/>
  <c r="S44" i="4"/>
  <c r="P44" i="4"/>
  <c r="N44" i="4"/>
  <c r="K44" i="4"/>
  <c r="H44" i="4"/>
  <c r="F44" i="4"/>
  <c r="E44" i="4"/>
  <c r="F112" i="5" s="1"/>
  <c r="H112" i="5" s="1"/>
  <c r="C44" i="4"/>
  <c r="B44" i="4"/>
  <c r="B112" i="5" s="1"/>
  <c r="B47" i="7" s="1"/>
  <c r="X43" i="4"/>
  <c r="V43" i="4"/>
  <c r="T43" i="4"/>
  <c r="Q43" i="4"/>
  <c r="N43" i="4"/>
  <c r="M43" i="4"/>
  <c r="I43" i="4"/>
  <c r="H43" i="4"/>
  <c r="F43" i="4"/>
  <c r="E43" i="4"/>
  <c r="R43" i="4" s="1"/>
  <c r="C43" i="4"/>
  <c r="B43" i="4"/>
  <c r="B111" i="5" s="1"/>
  <c r="B46" i="7" s="1"/>
  <c r="L42" i="4"/>
  <c r="E42" i="4"/>
  <c r="P42" i="4" s="1"/>
  <c r="C42" i="4"/>
  <c r="B42" i="4"/>
  <c r="B110" i="5" s="1"/>
  <c r="B45" i="7" s="1"/>
  <c r="E41" i="4"/>
  <c r="C41" i="4"/>
  <c r="B41" i="4"/>
  <c r="B109" i="5" s="1"/>
  <c r="B44" i="7" s="1"/>
  <c r="T40" i="4"/>
  <c r="L40" i="4"/>
  <c r="E40" i="4"/>
  <c r="C40" i="4"/>
  <c r="B40" i="4"/>
  <c r="B108" i="5" s="1"/>
  <c r="B43" i="7" s="1"/>
  <c r="W39" i="4"/>
  <c r="R39" i="4"/>
  <c r="L39" i="4"/>
  <c r="G39" i="4"/>
  <c r="E39" i="4"/>
  <c r="C39" i="4"/>
  <c r="B39" i="4"/>
  <c r="B107" i="5" s="1"/>
  <c r="B42" i="7" s="1"/>
  <c r="E38" i="4"/>
  <c r="C38" i="4"/>
  <c r="B38" i="4"/>
  <c r="B106" i="5" s="1"/>
  <c r="B41" i="7" s="1"/>
  <c r="X37" i="4"/>
  <c r="V37" i="4"/>
  <c r="S37" i="4"/>
  <c r="P37" i="4"/>
  <c r="N37" i="4"/>
  <c r="K37" i="4"/>
  <c r="H37" i="4"/>
  <c r="F37" i="4"/>
  <c r="E37" i="4"/>
  <c r="F105" i="5" s="1"/>
  <c r="H105" i="5" s="1"/>
  <c r="C37" i="4"/>
  <c r="B37" i="4"/>
  <c r="B105" i="5" s="1"/>
  <c r="B40" i="7" s="1"/>
  <c r="V36" i="4"/>
  <c r="T36" i="4"/>
  <c r="Q36" i="4"/>
  <c r="L36" i="4"/>
  <c r="I36" i="4"/>
  <c r="F36" i="4"/>
  <c r="E36" i="4"/>
  <c r="X36" i="4" s="1"/>
  <c r="C36" i="4"/>
  <c r="B36" i="4"/>
  <c r="B104" i="5" s="1"/>
  <c r="B39" i="7" s="1"/>
  <c r="K35" i="4"/>
  <c r="I38" i="7" s="1"/>
  <c r="E35" i="4"/>
  <c r="C35" i="4"/>
  <c r="B35" i="4"/>
  <c r="B103" i="5" s="1"/>
  <c r="B38" i="7" s="1"/>
  <c r="E33" i="4"/>
  <c r="F101" i="5" s="1"/>
  <c r="H101" i="5" s="1"/>
  <c r="E101" i="5" s="1"/>
  <c r="C33" i="4"/>
  <c r="B33" i="4"/>
  <c r="B101" i="5" s="1"/>
  <c r="B36" i="7" s="1"/>
  <c r="W32" i="4"/>
  <c r="O32" i="4"/>
  <c r="G32" i="4"/>
  <c r="E32" i="4"/>
  <c r="F100" i="5" s="1"/>
  <c r="H100" i="5" s="1"/>
  <c r="E100" i="5" s="1"/>
  <c r="C32" i="4"/>
  <c r="B32" i="4"/>
  <c r="B100" i="5" s="1"/>
  <c r="B35" i="7" s="1"/>
  <c r="E31" i="4"/>
  <c r="F99" i="5" s="1"/>
  <c r="H99" i="5" s="1"/>
  <c r="E99" i="5" s="1"/>
  <c r="C31" i="4"/>
  <c r="B31" i="4"/>
  <c r="B99" i="5" s="1"/>
  <c r="B34" i="7" s="1"/>
  <c r="E30" i="4"/>
  <c r="K30" i="4" s="1"/>
  <c r="C30" i="4"/>
  <c r="B30" i="4"/>
  <c r="B98" i="5" s="1"/>
  <c r="B33" i="7" s="1"/>
  <c r="C29" i="4"/>
  <c r="B29" i="4"/>
  <c r="B97" i="5" s="1"/>
  <c r="B32" i="7" s="1"/>
  <c r="E27" i="4"/>
  <c r="C30" i="7" s="1"/>
  <c r="C27" i="4"/>
  <c r="E26" i="4"/>
  <c r="C29" i="7" s="1"/>
  <c r="C26" i="4"/>
  <c r="E25" i="4"/>
  <c r="C28" i="7" s="1"/>
  <c r="C25" i="4"/>
  <c r="E24" i="4"/>
  <c r="C24" i="4"/>
  <c r="E23" i="4"/>
  <c r="C26" i="7" s="1"/>
  <c r="C23" i="4"/>
  <c r="E22" i="4"/>
  <c r="C25" i="7" s="1"/>
  <c r="C22" i="4"/>
  <c r="E21" i="4"/>
  <c r="C21" i="4"/>
  <c r="W20" i="4"/>
  <c r="O20" i="4"/>
  <c r="K20" i="4"/>
  <c r="G20" i="4"/>
  <c r="E20" i="4"/>
  <c r="S20" i="4" s="1"/>
  <c r="E18" i="4"/>
  <c r="C21" i="7" s="1"/>
  <c r="C13" i="4"/>
  <c r="C73" i="45"/>
  <c r="E72" i="45"/>
  <c r="E71" i="45"/>
  <c r="E70" i="45"/>
  <c r="E69" i="45"/>
  <c r="E68" i="45"/>
  <c r="E67" i="45"/>
  <c r="E66" i="45"/>
  <c r="E64" i="45"/>
  <c r="E63" i="45"/>
  <c r="E62" i="45"/>
  <c r="C15" i="45"/>
  <c r="C11" i="45"/>
  <c r="C4" i="2"/>
  <c r="V21" i="4" l="1"/>
  <c r="T24" i="7" s="1"/>
  <c r="P21" i="4"/>
  <c r="N24" i="7" s="1"/>
  <c r="K21" i="4"/>
  <c r="I24" i="7" s="1"/>
  <c r="F21" i="4"/>
  <c r="D24" i="7" s="1"/>
  <c r="X21" i="4"/>
  <c r="V24" i="7" s="1"/>
  <c r="S21" i="4"/>
  <c r="Q24" i="7" s="1"/>
  <c r="N21" i="4"/>
  <c r="L24" i="7" s="1"/>
  <c r="H21" i="4"/>
  <c r="F24" i="7" s="1"/>
  <c r="O21" i="4"/>
  <c r="M24" i="7" s="1"/>
  <c r="F109" i="5"/>
  <c r="H109" i="5" s="1"/>
  <c r="X41" i="4"/>
  <c r="S41" i="4"/>
  <c r="N41" i="4"/>
  <c r="H41" i="4"/>
  <c r="V41" i="4"/>
  <c r="P41" i="4"/>
  <c r="K41" i="4"/>
  <c r="F41" i="4"/>
  <c r="G21" i="4"/>
  <c r="E24" i="7" s="1"/>
  <c r="R21" i="4"/>
  <c r="P24" i="7" s="1"/>
  <c r="W35" i="4"/>
  <c r="U38" i="7" s="1"/>
  <c r="P35" i="4"/>
  <c r="N38" i="7" s="1"/>
  <c r="G35" i="4"/>
  <c r="E38" i="7" s="1"/>
  <c r="F107" i="5"/>
  <c r="H107" i="5" s="1"/>
  <c r="V39" i="4"/>
  <c r="P39" i="4"/>
  <c r="K39" i="4"/>
  <c r="F39" i="4"/>
  <c r="X39" i="4"/>
  <c r="S39" i="4"/>
  <c r="N39" i="4"/>
  <c r="H39" i="4"/>
  <c r="O39" i="4"/>
  <c r="G41" i="4"/>
  <c r="R41" i="4"/>
  <c r="X38" i="10"/>
  <c r="Y38" i="10"/>
  <c r="S38" i="10"/>
  <c r="N38" i="10"/>
  <c r="I38" i="10"/>
  <c r="AA38" i="10"/>
  <c r="V38" i="10"/>
  <c r="Q38" i="10"/>
  <c r="K38" i="10"/>
  <c r="Z38" i="10"/>
  <c r="U38" i="10"/>
  <c r="O38" i="10"/>
  <c r="J38" i="10"/>
  <c r="AA39" i="10"/>
  <c r="S39" i="10"/>
  <c r="N39" i="10"/>
  <c r="I39" i="10"/>
  <c r="W39" i="10"/>
  <c r="Q39" i="10"/>
  <c r="K39" i="10"/>
  <c r="V39" i="10"/>
  <c r="O39" i="10"/>
  <c r="J39" i="10"/>
  <c r="J41" i="4"/>
  <c r="T41" i="4"/>
  <c r="F110" i="5"/>
  <c r="H110" i="5" s="1"/>
  <c r="V42" i="4"/>
  <c r="N42" i="4"/>
  <c r="F42" i="4"/>
  <c r="R42" i="4"/>
  <c r="J42" i="4"/>
  <c r="T42" i="4"/>
  <c r="F98" i="5"/>
  <c r="H98" i="5" s="1"/>
  <c r="E98" i="5" s="1"/>
  <c r="W30" i="4"/>
  <c r="G30" i="4"/>
  <c r="O30" i="4"/>
  <c r="J21" i="4"/>
  <c r="H24" i="7" s="1"/>
  <c r="T21" i="4"/>
  <c r="R24" i="7" s="1"/>
  <c r="S30" i="4"/>
  <c r="L21" i="4"/>
  <c r="J24" i="7" s="1"/>
  <c r="W21" i="4"/>
  <c r="U24" i="7" s="1"/>
  <c r="V35" i="4"/>
  <c r="T38" i="7" s="1"/>
  <c r="J39" i="4"/>
  <c r="T39" i="4"/>
  <c r="W40" i="4"/>
  <c r="P40" i="4"/>
  <c r="X40" i="4"/>
  <c r="H40" i="4"/>
  <c r="L41" i="4"/>
  <c r="W41" i="4"/>
  <c r="H42" i="4"/>
  <c r="X42" i="4"/>
  <c r="U46" i="4"/>
  <c r="V46" i="4"/>
  <c r="P46" i="4"/>
  <c r="K46" i="4"/>
  <c r="F46" i="4"/>
  <c r="X46" i="4"/>
  <c r="S46" i="4"/>
  <c r="N46" i="4"/>
  <c r="H46" i="4"/>
  <c r="W46" i="4"/>
  <c r="R46" i="4"/>
  <c r="L46" i="4"/>
  <c r="T46" i="4"/>
  <c r="V48" i="4"/>
  <c r="P48" i="4"/>
  <c r="K48" i="4"/>
  <c r="F48" i="4"/>
  <c r="X48" i="4"/>
  <c r="S48" i="4"/>
  <c r="N48" i="4"/>
  <c r="H48" i="4"/>
  <c r="W48" i="4"/>
  <c r="R48" i="4"/>
  <c r="L48" i="4"/>
  <c r="G48" i="4"/>
  <c r="Q51" i="4"/>
  <c r="F51" i="4"/>
  <c r="V51" i="4"/>
  <c r="J51" i="4"/>
  <c r="R51" i="4"/>
  <c r="I51" i="4"/>
  <c r="O41" i="4"/>
  <c r="N47" i="4"/>
  <c r="J50" i="4"/>
  <c r="O50" i="4"/>
  <c r="T50" i="4"/>
  <c r="E73" i="45"/>
  <c r="C26" i="45" s="1"/>
  <c r="E29" i="4" s="1"/>
  <c r="S32" i="4"/>
  <c r="J37" i="4"/>
  <c r="O37" i="4"/>
  <c r="T37" i="4"/>
  <c r="J44" i="4"/>
  <c r="O44" i="4"/>
  <c r="T44" i="4"/>
  <c r="F47" i="4"/>
  <c r="Q47" i="4"/>
  <c r="R49" i="4"/>
  <c r="F50" i="4"/>
  <c r="K50" i="4"/>
  <c r="P50" i="4"/>
  <c r="V50" i="4"/>
  <c r="P45" i="10"/>
  <c r="AA45" i="10"/>
  <c r="M52" i="10"/>
  <c r="R52" i="10"/>
  <c r="W52" i="10"/>
  <c r="M53" i="10"/>
  <c r="R53" i="10"/>
  <c r="W53" i="10"/>
  <c r="M54" i="10"/>
  <c r="R54" i="10"/>
  <c r="W54" i="10"/>
  <c r="M55" i="10"/>
  <c r="R55" i="10"/>
  <c r="W55" i="10"/>
  <c r="E212" i="5"/>
  <c r="E213" i="5" s="1"/>
  <c r="H84" i="53"/>
  <c r="H102" i="53" s="1"/>
  <c r="K32" i="4"/>
  <c r="N36" i="4"/>
  <c r="G37" i="4"/>
  <c r="L37" i="4"/>
  <c r="R37" i="4"/>
  <c r="W37" i="4"/>
  <c r="L43" i="4"/>
  <c r="G44" i="4"/>
  <c r="L44" i="4"/>
  <c r="R44" i="4"/>
  <c r="W44" i="4"/>
  <c r="X45" i="4"/>
  <c r="L47" i="4"/>
  <c r="V47" i="4"/>
  <c r="H50" i="4"/>
  <c r="N50" i="4"/>
  <c r="S50" i="4"/>
  <c r="X50" i="4"/>
  <c r="K45" i="10"/>
  <c r="U45" i="10"/>
  <c r="Q47" i="10"/>
  <c r="AC51" i="10"/>
  <c r="J52" i="10"/>
  <c r="O52" i="10"/>
  <c r="U52" i="10"/>
  <c r="Z52" i="10"/>
  <c r="J53" i="10"/>
  <c r="O53" i="10"/>
  <c r="U53" i="10"/>
  <c r="Z53" i="10"/>
  <c r="J54" i="10"/>
  <c r="O54" i="10"/>
  <c r="U54" i="10"/>
  <c r="Z54" i="10"/>
  <c r="J55" i="10"/>
  <c r="O55" i="10"/>
  <c r="U55" i="10"/>
  <c r="Z55" i="10"/>
  <c r="E232" i="5"/>
  <c r="R51" i="7" s="1"/>
  <c r="D95" i="53"/>
  <c r="C37" i="53" s="1"/>
  <c r="C44" i="48"/>
  <c r="C51" i="48" s="1"/>
  <c r="C52" i="48" s="1"/>
  <c r="D106" i="53"/>
  <c r="G88" i="53"/>
  <c r="G106" i="53" s="1"/>
  <c r="F97" i="5"/>
  <c r="H97" i="5" s="1"/>
  <c r="C32" i="7"/>
  <c r="S29" i="4"/>
  <c r="Q32" i="7" s="1"/>
  <c r="K29" i="4"/>
  <c r="I32" i="7" s="1"/>
  <c r="Q29" i="4"/>
  <c r="O32" i="7" s="1"/>
  <c r="I29" i="4"/>
  <c r="G32" i="7" s="1"/>
  <c r="V29" i="4"/>
  <c r="T32" i="7" s="1"/>
  <c r="R29" i="4"/>
  <c r="P32" i="7" s="1"/>
  <c r="N29" i="4"/>
  <c r="L32" i="7" s="1"/>
  <c r="J29" i="4"/>
  <c r="H32" i="7" s="1"/>
  <c r="F29" i="4"/>
  <c r="D32" i="7" s="1"/>
  <c r="X29" i="4"/>
  <c r="V32" i="7" s="1"/>
  <c r="T29" i="4"/>
  <c r="R32" i="7" s="1"/>
  <c r="P29" i="4"/>
  <c r="N32" i="7" s="1"/>
  <c r="L29" i="4"/>
  <c r="J32" i="7" s="1"/>
  <c r="H29" i="4"/>
  <c r="F32" i="7" s="1"/>
  <c r="W29" i="4"/>
  <c r="U32" i="7" s="1"/>
  <c r="O29" i="4"/>
  <c r="M32" i="7" s="1"/>
  <c r="G29" i="4"/>
  <c r="E32" i="7" s="1"/>
  <c r="U29" i="4"/>
  <c r="S32" i="7" s="1"/>
  <c r="M29" i="4"/>
  <c r="K32" i="7" s="1"/>
  <c r="I22" i="4"/>
  <c r="G25" i="7" s="1"/>
  <c r="Q31" i="4"/>
  <c r="M33" i="4"/>
  <c r="Q33" i="4"/>
  <c r="U33" i="4"/>
  <c r="F106" i="5"/>
  <c r="H106" i="5" s="1"/>
  <c r="V38" i="4"/>
  <c r="R38" i="4"/>
  <c r="N38" i="4"/>
  <c r="J38" i="4"/>
  <c r="F38" i="4"/>
  <c r="W38" i="4"/>
  <c r="S38" i="4"/>
  <c r="O38" i="4"/>
  <c r="K38" i="4"/>
  <c r="G38" i="4"/>
  <c r="U38" i="4"/>
  <c r="AA35" i="10"/>
  <c r="W35" i="10"/>
  <c r="S35" i="10"/>
  <c r="O35" i="10"/>
  <c r="K35" i="10"/>
  <c r="Z35" i="10"/>
  <c r="V35" i="10"/>
  <c r="R35" i="10"/>
  <c r="N35" i="10"/>
  <c r="J35" i="10"/>
  <c r="T35" i="10"/>
  <c r="L35" i="10"/>
  <c r="L37" i="10" s="1"/>
  <c r="Y35" i="10"/>
  <c r="Q35" i="10"/>
  <c r="I35" i="10"/>
  <c r="U35" i="10"/>
  <c r="U37" i="10" s="1"/>
  <c r="M35" i="10"/>
  <c r="F88" i="5"/>
  <c r="H88" i="5" s="1"/>
  <c r="U23" i="7" s="1"/>
  <c r="M20" i="4"/>
  <c r="Q20" i="4"/>
  <c r="U20" i="4"/>
  <c r="K31" i="4"/>
  <c r="S31" i="4"/>
  <c r="W31" i="4"/>
  <c r="G25" i="5"/>
  <c r="G17" i="3"/>
  <c r="F18" i="4"/>
  <c r="F20" i="4"/>
  <c r="J20" i="4"/>
  <c r="N20" i="4"/>
  <c r="L23" i="7" s="1"/>
  <c r="R20" i="4"/>
  <c r="P23" i="7" s="1"/>
  <c r="V20" i="4"/>
  <c r="C24" i="7"/>
  <c r="E77" i="7" s="1"/>
  <c r="F89" i="5"/>
  <c r="E89" i="5" s="1"/>
  <c r="C57" i="4"/>
  <c r="I21" i="4"/>
  <c r="G24" i="7" s="1"/>
  <c r="M21" i="4"/>
  <c r="K24" i="7" s="1"/>
  <c r="Q21" i="4"/>
  <c r="O24" i="7" s="1"/>
  <c r="U21" i="4"/>
  <c r="S24" i="7" s="1"/>
  <c r="H22" i="4"/>
  <c r="F25" i="7" s="1"/>
  <c r="L22" i="4"/>
  <c r="J25" i="7" s="1"/>
  <c r="P22" i="4"/>
  <c r="N25" i="7" s="1"/>
  <c r="T22" i="4"/>
  <c r="R25" i="7" s="1"/>
  <c r="X22" i="4"/>
  <c r="V25" i="7" s="1"/>
  <c r="C27" i="7"/>
  <c r="E79" i="7" s="1"/>
  <c r="C59" i="4"/>
  <c r="F30" i="4"/>
  <c r="J30" i="4"/>
  <c r="N30" i="4"/>
  <c r="R30" i="4"/>
  <c r="V30" i="4"/>
  <c r="H31" i="4"/>
  <c r="L31" i="4"/>
  <c r="P31" i="4"/>
  <c r="T31" i="4"/>
  <c r="X31" i="4"/>
  <c r="F32" i="4"/>
  <c r="J32" i="4"/>
  <c r="N32" i="4"/>
  <c r="R32" i="4"/>
  <c r="V32" i="4"/>
  <c r="H33" i="4"/>
  <c r="L33" i="4"/>
  <c r="P33" i="4"/>
  <c r="T33" i="4"/>
  <c r="X33" i="4"/>
  <c r="F35" i="4"/>
  <c r="D38" i="7" s="1"/>
  <c r="J35" i="4"/>
  <c r="H38" i="7" s="1"/>
  <c r="O35" i="4"/>
  <c r="M38" i="7" s="1"/>
  <c r="T35" i="4"/>
  <c r="R38" i="7" s="1"/>
  <c r="H36" i="4"/>
  <c r="M36" i="4"/>
  <c r="R36" i="4"/>
  <c r="L38" i="4"/>
  <c r="T38" i="4"/>
  <c r="T37" i="10"/>
  <c r="AA48" i="10"/>
  <c r="W48" i="10"/>
  <c r="S48" i="10"/>
  <c r="O48" i="10"/>
  <c r="K48" i="10"/>
  <c r="V48" i="10"/>
  <c r="Q48" i="10"/>
  <c r="L48" i="10"/>
  <c r="Z48" i="10"/>
  <c r="U48" i="10"/>
  <c r="P48" i="10"/>
  <c r="J48" i="10"/>
  <c r="X48" i="10"/>
  <c r="M48" i="10"/>
  <c r="T48" i="10"/>
  <c r="I48" i="10"/>
  <c r="Y48" i="10"/>
  <c r="N48" i="10"/>
  <c r="H50" i="10"/>
  <c r="M31" i="4"/>
  <c r="M38" i="4"/>
  <c r="H20" i="4"/>
  <c r="F23" i="7" s="1"/>
  <c r="L20" i="4"/>
  <c r="P20" i="4"/>
  <c r="T20" i="4"/>
  <c r="X20" i="4"/>
  <c r="V23" i="7" s="1"/>
  <c r="F22" i="4"/>
  <c r="D25" i="7" s="1"/>
  <c r="J22" i="4"/>
  <c r="H25" i="7" s="1"/>
  <c r="N22" i="4"/>
  <c r="L25" i="7" s="1"/>
  <c r="R22" i="4"/>
  <c r="P25" i="7" s="1"/>
  <c r="V22" i="4"/>
  <c r="T25" i="7" s="1"/>
  <c r="H30" i="4"/>
  <c r="L30" i="4"/>
  <c r="P30" i="4"/>
  <c r="T30" i="4"/>
  <c r="X30" i="4"/>
  <c r="F31" i="4"/>
  <c r="J31" i="4"/>
  <c r="N31" i="4"/>
  <c r="R31" i="4"/>
  <c r="V31" i="4"/>
  <c r="H32" i="4"/>
  <c r="L32" i="4"/>
  <c r="P32" i="4"/>
  <c r="T32" i="4"/>
  <c r="X32" i="4"/>
  <c r="F33" i="4"/>
  <c r="J33" i="4"/>
  <c r="N33" i="4"/>
  <c r="R33" i="4"/>
  <c r="V33" i="4"/>
  <c r="H35" i="4"/>
  <c r="F38" i="7" s="1"/>
  <c r="L35" i="4"/>
  <c r="J38" i="7" s="1"/>
  <c r="R35" i="4"/>
  <c r="P38" i="7" s="1"/>
  <c r="F104" i="5"/>
  <c r="H104" i="5" s="1"/>
  <c r="I191" i="5" s="1"/>
  <c r="F197" i="5" s="1"/>
  <c r="F43" i="7" s="1"/>
  <c r="W36" i="4"/>
  <c r="S36" i="4"/>
  <c r="O36" i="4"/>
  <c r="M39" i="7" s="1"/>
  <c r="K36" i="4"/>
  <c r="G36" i="4"/>
  <c r="J36" i="4"/>
  <c r="P36" i="4"/>
  <c r="U36" i="4"/>
  <c r="H38" i="4"/>
  <c r="P38" i="4"/>
  <c r="X38" i="4"/>
  <c r="P35" i="10"/>
  <c r="C12" i="42"/>
  <c r="M22" i="4"/>
  <c r="K25" i="7" s="1"/>
  <c r="Q22" i="4"/>
  <c r="O25" i="7" s="1"/>
  <c r="U22" i="4"/>
  <c r="S25" i="7" s="1"/>
  <c r="I31" i="4"/>
  <c r="U31" i="4"/>
  <c r="I33" i="4"/>
  <c r="J43" i="7"/>
  <c r="I20" i="4"/>
  <c r="G22" i="4"/>
  <c r="E25" i="7" s="1"/>
  <c r="K22" i="4"/>
  <c r="I25" i="7" s="1"/>
  <c r="O22" i="4"/>
  <c r="M25" i="7" s="1"/>
  <c r="S22" i="4"/>
  <c r="Q25" i="7" s="1"/>
  <c r="W22" i="4"/>
  <c r="U25" i="7" s="1"/>
  <c r="I30" i="4"/>
  <c r="M30" i="4"/>
  <c r="Q30" i="4"/>
  <c r="U30" i="4"/>
  <c r="G31" i="4"/>
  <c r="O31" i="4"/>
  <c r="I32" i="4"/>
  <c r="M32" i="4"/>
  <c r="Q32" i="4"/>
  <c r="U32" i="4"/>
  <c r="G33" i="4"/>
  <c r="K33" i="4"/>
  <c r="O33" i="4"/>
  <c r="S33" i="4"/>
  <c r="W33" i="4"/>
  <c r="C38" i="7"/>
  <c r="F103" i="5"/>
  <c r="H103" i="5" s="1"/>
  <c r="U35" i="4"/>
  <c r="S38" i="7" s="1"/>
  <c r="Q35" i="4"/>
  <c r="O38" i="7" s="1"/>
  <c r="M35" i="4"/>
  <c r="K38" i="7" s="1"/>
  <c r="I35" i="4"/>
  <c r="G38" i="7" s="1"/>
  <c r="N35" i="4"/>
  <c r="L38" i="7" s="1"/>
  <c r="S35" i="4"/>
  <c r="Q38" i="7" s="1"/>
  <c r="X35" i="4"/>
  <c r="V38" i="7" s="1"/>
  <c r="D39" i="7"/>
  <c r="I38" i="4"/>
  <c r="Q38" i="4"/>
  <c r="X49" i="4"/>
  <c r="T49" i="4"/>
  <c r="P49" i="4"/>
  <c r="L49" i="4"/>
  <c r="W49" i="4"/>
  <c r="S49" i="4"/>
  <c r="O49" i="4"/>
  <c r="K49" i="4"/>
  <c r="G49" i="4"/>
  <c r="V49" i="4"/>
  <c r="N49" i="4"/>
  <c r="H49" i="4"/>
  <c r="U49" i="4"/>
  <c r="M49" i="4"/>
  <c r="F49" i="4"/>
  <c r="Q49" i="4"/>
  <c r="I49" i="4"/>
  <c r="H31" i="10"/>
  <c r="X35" i="10"/>
  <c r="H37" i="10"/>
  <c r="I37" i="4"/>
  <c r="M37" i="4"/>
  <c r="Q37" i="4"/>
  <c r="U37" i="4"/>
  <c r="I39" i="4"/>
  <c r="M39" i="4"/>
  <c r="Q39" i="4"/>
  <c r="U39" i="4"/>
  <c r="G40" i="4"/>
  <c r="E43" i="7" s="1"/>
  <c r="K40" i="4"/>
  <c r="O40" i="4"/>
  <c r="S40" i="4"/>
  <c r="I41" i="4"/>
  <c r="M41" i="4"/>
  <c r="Q41" i="4"/>
  <c r="U41" i="4"/>
  <c r="G42" i="4"/>
  <c r="K42" i="4"/>
  <c r="O42" i="4"/>
  <c r="S42" i="4"/>
  <c r="W42" i="4"/>
  <c r="F111" i="5"/>
  <c r="H111" i="5" s="1"/>
  <c r="W43" i="4"/>
  <c r="S43" i="4"/>
  <c r="O43" i="4"/>
  <c r="K43" i="4"/>
  <c r="G43" i="4"/>
  <c r="J43" i="4"/>
  <c r="P43" i="4"/>
  <c r="U43" i="4"/>
  <c r="F45" i="4"/>
  <c r="L45" i="4"/>
  <c r="Q45" i="4"/>
  <c r="V45" i="4"/>
  <c r="H47" i="4"/>
  <c r="M47" i="4"/>
  <c r="R47" i="4"/>
  <c r="X51" i="4"/>
  <c r="T51" i="4"/>
  <c r="P51" i="4"/>
  <c r="L51" i="4"/>
  <c r="H51" i="4"/>
  <c r="W51" i="4"/>
  <c r="S51" i="4"/>
  <c r="O51" i="4"/>
  <c r="K51" i="4"/>
  <c r="G51" i="4"/>
  <c r="M51" i="4"/>
  <c r="U51" i="4"/>
  <c r="I34" i="10"/>
  <c r="Q34" i="10"/>
  <c r="Y34" i="10"/>
  <c r="Y37" i="10" s="1"/>
  <c r="Y40" i="10" s="1"/>
  <c r="I36" i="10"/>
  <c r="Q36" i="10"/>
  <c r="Y36" i="10"/>
  <c r="K49" i="10"/>
  <c r="M47" i="10"/>
  <c r="C43" i="7"/>
  <c r="F108" i="5"/>
  <c r="H108" i="5" s="1"/>
  <c r="I40" i="4"/>
  <c r="M40" i="4"/>
  <c r="Q40" i="4"/>
  <c r="O43" i="7" s="1"/>
  <c r="U40" i="4"/>
  <c r="I42" i="4"/>
  <c r="M42" i="4"/>
  <c r="Q42" i="4"/>
  <c r="U42" i="4"/>
  <c r="I45" i="4"/>
  <c r="N45" i="4"/>
  <c r="W47" i="4"/>
  <c r="S47" i="4"/>
  <c r="O47" i="4"/>
  <c r="K47" i="4"/>
  <c r="G47" i="4"/>
  <c r="J47" i="4"/>
  <c r="P47" i="4"/>
  <c r="U47" i="4"/>
  <c r="M34" i="10"/>
  <c r="M36" i="10"/>
  <c r="P50" i="10"/>
  <c r="AA49" i="10"/>
  <c r="AB49" i="10" s="1"/>
  <c r="AA50" i="10"/>
  <c r="AB50" i="10" s="1"/>
  <c r="AA47" i="10"/>
  <c r="W47" i="10"/>
  <c r="W50" i="10" s="1"/>
  <c r="S47" i="10"/>
  <c r="O47" i="10"/>
  <c r="O49" i="10" s="1"/>
  <c r="K47" i="10"/>
  <c r="K50" i="10" s="1"/>
  <c r="Z47" i="10"/>
  <c r="U47" i="10"/>
  <c r="P47" i="10"/>
  <c r="P49" i="10" s="1"/>
  <c r="J47" i="10"/>
  <c r="Y47" i="10"/>
  <c r="Y49" i="10" s="1"/>
  <c r="T47" i="10"/>
  <c r="T49" i="10" s="1"/>
  <c r="N47" i="10"/>
  <c r="I47" i="10"/>
  <c r="R47" i="10"/>
  <c r="C83" i="53"/>
  <c r="F83" i="53"/>
  <c r="AB43" i="10"/>
  <c r="AC43" i="10" s="1"/>
  <c r="F40" i="4"/>
  <c r="D43" i="7" s="1"/>
  <c r="J40" i="4"/>
  <c r="N40" i="4"/>
  <c r="R40" i="4"/>
  <c r="V40" i="4"/>
  <c r="T43" i="7" s="1"/>
  <c r="W45" i="4"/>
  <c r="S45" i="4"/>
  <c r="O45" i="4"/>
  <c r="K45" i="4"/>
  <c r="G45" i="4"/>
  <c r="J45" i="4"/>
  <c r="P45" i="4"/>
  <c r="U45" i="4"/>
  <c r="AA34" i="10"/>
  <c r="W34" i="10"/>
  <c r="S34" i="10"/>
  <c r="O34" i="10"/>
  <c r="K34" i="10"/>
  <c r="Z34" i="10"/>
  <c r="V34" i="10"/>
  <c r="R34" i="10"/>
  <c r="N34" i="10"/>
  <c r="J34" i="10"/>
  <c r="P34" i="10"/>
  <c r="X34" i="10"/>
  <c r="AA36" i="10"/>
  <c r="W36" i="10"/>
  <c r="S36" i="10"/>
  <c r="O36" i="10"/>
  <c r="K36" i="10"/>
  <c r="Z36" i="10"/>
  <c r="V36" i="10"/>
  <c r="R36" i="10"/>
  <c r="N36" i="10"/>
  <c r="J36" i="10"/>
  <c r="P36" i="10"/>
  <c r="X36" i="10"/>
  <c r="D157" i="53"/>
  <c r="I44" i="4"/>
  <c r="M44" i="4"/>
  <c r="Q44" i="4"/>
  <c r="U44" i="4"/>
  <c r="I46" i="4"/>
  <c r="M46" i="4"/>
  <c r="Q46" i="4"/>
  <c r="I48" i="4"/>
  <c r="G51" i="7" s="1"/>
  <c r="M48" i="4"/>
  <c r="K51" i="7" s="1"/>
  <c r="Q48" i="4"/>
  <c r="O51" i="7" s="1"/>
  <c r="U48" i="4"/>
  <c r="S51" i="7" s="1"/>
  <c r="I50" i="4"/>
  <c r="M50" i="4"/>
  <c r="Q50" i="4"/>
  <c r="L38" i="10"/>
  <c r="P38" i="10"/>
  <c r="T38" i="10"/>
  <c r="X39" i="10"/>
  <c r="T39" i="10"/>
  <c r="L39" i="10"/>
  <c r="P39" i="10"/>
  <c r="U39" i="10"/>
  <c r="Z39" i="10"/>
  <c r="L45" i="10"/>
  <c r="Q45" i="10"/>
  <c r="C79" i="10"/>
  <c r="D80" i="53"/>
  <c r="Z45" i="10"/>
  <c r="V45" i="10"/>
  <c r="R45" i="10"/>
  <c r="N45" i="10"/>
  <c r="J45" i="10"/>
  <c r="M45" i="10"/>
  <c r="S45" i="10"/>
  <c r="X45" i="10"/>
  <c r="H49" i="10"/>
  <c r="E57" i="5"/>
  <c r="C108" i="48"/>
  <c r="D133" i="48"/>
  <c r="E130" i="48" s="1"/>
  <c r="C67" i="7"/>
  <c r="W36" i="7"/>
  <c r="W34" i="7"/>
  <c r="W31" i="7"/>
  <c r="L52" i="10"/>
  <c r="P52" i="10"/>
  <c r="T52" i="10"/>
  <c r="L53" i="10"/>
  <c r="P53" i="10"/>
  <c r="T53" i="10"/>
  <c r="L54" i="10"/>
  <c r="P54" i="10"/>
  <c r="T54" i="10"/>
  <c r="L55" i="10"/>
  <c r="P55" i="10"/>
  <c r="T55" i="10"/>
  <c r="X26" i="7"/>
  <c r="W42" i="7"/>
  <c r="W47" i="7"/>
  <c r="W50" i="7"/>
  <c r="W52" i="7"/>
  <c r="E84" i="53"/>
  <c r="E102" i="53" s="1"/>
  <c r="E92" i="53"/>
  <c r="G92" i="53"/>
  <c r="G110" i="53" s="1"/>
  <c r="G93" i="53"/>
  <c r="G111" i="53" s="1"/>
  <c r="D109" i="53"/>
  <c r="D113" i="53" s="1"/>
  <c r="C41" i="53" s="1"/>
  <c r="E124" i="53"/>
  <c r="C158" i="53" s="1"/>
  <c r="D84" i="53"/>
  <c r="D102" i="53" s="1"/>
  <c r="E91" i="53"/>
  <c r="D135" i="53"/>
  <c r="E157" i="53" s="1"/>
  <c r="G90" i="53"/>
  <c r="G108" i="53" s="1"/>
  <c r="G94" i="53"/>
  <c r="G112" i="53" s="1"/>
  <c r="I50" i="10" l="1"/>
  <c r="U51" i="7"/>
  <c r="V51" i="7"/>
  <c r="T51" i="7"/>
  <c r="M51" i="7"/>
  <c r="P56" i="10"/>
  <c r="K56" i="10"/>
  <c r="M37" i="10"/>
  <c r="M40" i="10" s="1"/>
  <c r="U40" i="10"/>
  <c r="L40" i="10"/>
  <c r="H51" i="7"/>
  <c r="E51" i="7"/>
  <c r="F51" i="7"/>
  <c r="D51" i="7"/>
  <c r="C51" i="7"/>
  <c r="J51" i="7"/>
  <c r="L51" i="7"/>
  <c r="I51" i="7"/>
  <c r="G113" i="53"/>
  <c r="E41" i="53" s="1"/>
  <c r="P51" i="7"/>
  <c r="Q51" i="7"/>
  <c r="N51" i="7"/>
  <c r="C67" i="48"/>
  <c r="C69" i="48" s="1"/>
  <c r="AA56" i="10"/>
  <c r="G95" i="53"/>
  <c r="E37" i="53" s="1"/>
  <c r="J23" i="7"/>
  <c r="Q23" i="7"/>
  <c r="E158" i="53"/>
  <c r="E159" i="53" s="1"/>
  <c r="C43" i="53" s="1"/>
  <c r="D158" i="53"/>
  <c r="D159" i="53" s="1"/>
  <c r="D43" i="53" s="1"/>
  <c r="C159" i="53"/>
  <c r="D21" i="7"/>
  <c r="I31" i="10"/>
  <c r="G18" i="4"/>
  <c r="K23" i="7"/>
  <c r="I23" i="7"/>
  <c r="W32" i="7"/>
  <c r="X32" i="7" s="1"/>
  <c r="C82" i="53"/>
  <c r="F82" i="53"/>
  <c r="AB42" i="10"/>
  <c r="AC42" i="10" s="1"/>
  <c r="X37" i="10"/>
  <c r="X40" i="10" s="1"/>
  <c r="O37" i="10"/>
  <c r="O40" i="10" s="1"/>
  <c r="U49" i="10"/>
  <c r="N39" i="7"/>
  <c r="E110" i="53"/>
  <c r="H92" i="53"/>
  <c r="H110" i="53" s="1"/>
  <c r="J50" i="10"/>
  <c r="J49" i="10"/>
  <c r="V37" i="10"/>
  <c r="V40" i="10" s="1"/>
  <c r="P43" i="7"/>
  <c r="Y50" i="10"/>
  <c r="Y56" i="10" s="1"/>
  <c r="T39" i="7"/>
  <c r="H39" i="7"/>
  <c r="Q39" i="7"/>
  <c r="T40" i="10"/>
  <c r="R39" i="7"/>
  <c r="W30" i="7"/>
  <c r="X30" i="7" s="1"/>
  <c r="W29" i="7"/>
  <c r="X29" i="7" s="1"/>
  <c r="W28" i="7"/>
  <c r="X28" i="7" s="1"/>
  <c r="W27" i="7"/>
  <c r="X27" i="7" s="1"/>
  <c r="M50" i="10"/>
  <c r="M49" i="10"/>
  <c r="M56" i="10" s="1"/>
  <c r="V50" i="10"/>
  <c r="V49" i="10"/>
  <c r="R37" i="10"/>
  <c r="R40" i="10" s="1"/>
  <c r="W51" i="7"/>
  <c r="X51" i="7" s="1"/>
  <c r="H40" i="10"/>
  <c r="F39" i="7"/>
  <c r="F55" i="7" s="1"/>
  <c r="Q50" i="10"/>
  <c r="Q49" i="10"/>
  <c r="Q56" i="10" s="1"/>
  <c r="P37" i="10"/>
  <c r="P40" i="10" s="1"/>
  <c r="S37" i="10"/>
  <c r="S40" i="10" s="1"/>
  <c r="W49" i="10"/>
  <c r="W56" i="10" s="1"/>
  <c r="Q43" i="7"/>
  <c r="W38" i="7"/>
  <c r="X38" i="7" s="1"/>
  <c r="L39" i="7"/>
  <c r="E109" i="53"/>
  <c r="E113" i="53" s="1"/>
  <c r="D41" i="53" s="1"/>
  <c r="E95" i="53"/>
  <c r="D37" i="53" s="1"/>
  <c r="H91" i="53"/>
  <c r="X49" i="10"/>
  <c r="X50" i="10"/>
  <c r="N50" i="10"/>
  <c r="N49" i="10"/>
  <c r="G80" i="53"/>
  <c r="D98" i="53"/>
  <c r="L50" i="10"/>
  <c r="L56" i="10" s="1"/>
  <c r="L57" i="10" s="1"/>
  <c r="L58" i="10" s="1"/>
  <c r="L49" i="10"/>
  <c r="I56" i="10"/>
  <c r="J37" i="10"/>
  <c r="J40" i="10" s="1"/>
  <c r="Z37" i="10"/>
  <c r="Z40" i="10" s="1"/>
  <c r="W37" i="10"/>
  <c r="W40" i="10" s="1"/>
  <c r="L43" i="7"/>
  <c r="G83" i="53"/>
  <c r="G101" i="53" s="1"/>
  <c r="H83" i="53"/>
  <c r="H101" i="53" s="1"/>
  <c r="I49" i="10"/>
  <c r="G43" i="7"/>
  <c r="Q37" i="10"/>
  <c r="Q40" i="10" s="1"/>
  <c r="M43" i="7"/>
  <c r="O50" i="10"/>
  <c r="O56" i="10" s="1"/>
  <c r="U43" i="7"/>
  <c r="O39" i="7"/>
  <c r="W24" i="7"/>
  <c r="X24" i="7" s="1"/>
  <c r="G39" i="7"/>
  <c r="M23" i="7"/>
  <c r="M55" i="7" s="1"/>
  <c r="E39" i="7"/>
  <c r="U39" i="7"/>
  <c r="R23" i="7"/>
  <c r="V43" i="7"/>
  <c r="W43" i="7" s="1"/>
  <c r="P39" i="7"/>
  <c r="P55" i="7" s="1"/>
  <c r="E80" i="7"/>
  <c r="H23" i="7"/>
  <c r="S23" i="7"/>
  <c r="C23" i="7"/>
  <c r="V39" i="7"/>
  <c r="W39" i="7" s="1"/>
  <c r="E84" i="7"/>
  <c r="C80" i="53"/>
  <c r="Z50" i="10"/>
  <c r="Z49" i="10"/>
  <c r="Z56" i="10" s="1"/>
  <c r="K43" i="7"/>
  <c r="R43" i="7"/>
  <c r="S49" i="10"/>
  <c r="S50" i="10"/>
  <c r="R50" i="10"/>
  <c r="R49" i="10"/>
  <c r="R56" i="10"/>
  <c r="H56" i="10"/>
  <c r="N37" i="10"/>
  <c r="N40" i="10" s="1"/>
  <c r="K37" i="10"/>
  <c r="K40" i="10" s="1"/>
  <c r="AA37" i="10"/>
  <c r="H43" i="7"/>
  <c r="E83" i="53"/>
  <c r="E101" i="53" s="1"/>
  <c r="D83" i="53"/>
  <c r="D101" i="53" s="1"/>
  <c r="S43" i="7"/>
  <c r="U50" i="10"/>
  <c r="I37" i="10"/>
  <c r="I40" i="10" s="1"/>
  <c r="I43" i="7"/>
  <c r="J39" i="7"/>
  <c r="J55" i="7" s="1"/>
  <c r="G23" i="7"/>
  <c r="E23" i="7"/>
  <c r="N43" i="7"/>
  <c r="S39" i="7"/>
  <c r="I39" i="7"/>
  <c r="C39" i="7"/>
  <c r="N23" i="7"/>
  <c r="N55" i="7" s="1"/>
  <c r="K39" i="7"/>
  <c r="W25" i="7"/>
  <c r="X25" i="7" s="1"/>
  <c r="T23" i="7"/>
  <c r="T55" i="7" s="1"/>
  <c r="D23" i="7"/>
  <c r="D55" i="7" s="1"/>
  <c r="O23" i="7"/>
  <c r="T50" i="10"/>
  <c r="T56" i="10" s="1"/>
  <c r="U55" i="7" l="1"/>
  <c r="S56" i="10"/>
  <c r="R55" i="7"/>
  <c r="N56" i="10"/>
  <c r="U56" i="10"/>
  <c r="O55" i="7"/>
  <c r="X43" i="7"/>
  <c r="Q55" i="7"/>
  <c r="H55" i="7"/>
  <c r="AC49" i="10"/>
  <c r="AC50" i="10"/>
  <c r="X39" i="7"/>
  <c r="X58" i="7" s="1"/>
  <c r="E25" i="41" s="1"/>
  <c r="E55" i="7"/>
  <c r="X56" i="10"/>
  <c r="L55" i="7"/>
  <c r="V56" i="10"/>
  <c r="V57" i="10" s="1"/>
  <c r="V58" i="10" s="1"/>
  <c r="J56" i="10"/>
  <c r="Y57" i="10"/>
  <c r="Y58" i="10" s="1"/>
  <c r="U57" i="10"/>
  <c r="U58" i="10" s="1"/>
  <c r="M57" i="10"/>
  <c r="M58" i="10" s="1"/>
  <c r="X59" i="7"/>
  <c r="F25" i="41" s="1"/>
  <c r="AA40" i="10"/>
  <c r="AB37" i="10"/>
  <c r="AC37" i="10" s="1"/>
  <c r="AC40" i="10" s="1"/>
  <c r="F80" i="53"/>
  <c r="E80" i="53"/>
  <c r="P57" i="10"/>
  <c r="P59" i="10" s="1"/>
  <c r="P58" i="10"/>
  <c r="X57" i="10"/>
  <c r="X59" i="10" s="1"/>
  <c r="W57" i="10"/>
  <c r="W58" i="10" s="1"/>
  <c r="AC56" i="10"/>
  <c r="E26" i="41" s="1"/>
  <c r="N57" i="10"/>
  <c r="N58" i="10" s="1"/>
  <c r="C55" i="7"/>
  <c r="D16" i="42" s="1"/>
  <c r="E81" i="7"/>
  <c r="X55" i="7"/>
  <c r="D20" i="42" s="1"/>
  <c r="Z57" i="10"/>
  <c r="Z58" i="10" s="1"/>
  <c r="G98" i="53"/>
  <c r="H109" i="53"/>
  <c r="H113" i="53" s="1"/>
  <c r="F41" i="53" s="1"/>
  <c r="H95" i="53"/>
  <c r="F37" i="53" s="1"/>
  <c r="R57" i="10"/>
  <c r="R58" i="10" s="1"/>
  <c r="V55" i="7"/>
  <c r="H82" i="53"/>
  <c r="H100" i="53" s="1"/>
  <c r="G82" i="53"/>
  <c r="G100" i="53" s="1"/>
  <c r="K55" i="7"/>
  <c r="I57" i="10"/>
  <c r="I58" i="10" s="1"/>
  <c r="C16" i="42"/>
  <c r="L59" i="10"/>
  <c r="G55" i="7"/>
  <c r="K57" i="10"/>
  <c r="K59" i="10" s="1"/>
  <c r="I55" i="7"/>
  <c r="S55" i="7"/>
  <c r="Q57" i="10"/>
  <c r="Q59" i="10" s="1"/>
  <c r="J57" i="10"/>
  <c r="J58" i="10" s="1"/>
  <c r="S57" i="10"/>
  <c r="S58" i="10" s="1"/>
  <c r="H57" i="10"/>
  <c r="H59" i="10" s="1"/>
  <c r="T57" i="10"/>
  <c r="T59" i="10" s="1"/>
  <c r="O57" i="10"/>
  <c r="O59" i="10" s="1"/>
  <c r="E82" i="53"/>
  <c r="E100" i="53" s="1"/>
  <c r="D82" i="53"/>
  <c r="E21" i="7"/>
  <c r="J31" i="10"/>
  <c r="H18" i="4"/>
  <c r="G85" i="53" l="1"/>
  <c r="E36" i="53" s="1"/>
  <c r="Z59" i="10"/>
  <c r="W59" i="10"/>
  <c r="V59" i="10"/>
  <c r="X58" i="10"/>
  <c r="Y59" i="10"/>
  <c r="T58" i="10"/>
  <c r="O58" i="10"/>
  <c r="Q58" i="10"/>
  <c r="I59" i="10"/>
  <c r="F21" i="7"/>
  <c r="K31" i="10"/>
  <c r="I18" i="4"/>
  <c r="K58" i="10"/>
  <c r="I26" i="41"/>
  <c r="C5" i="42"/>
  <c r="E98" i="53"/>
  <c r="E103" i="53" s="1"/>
  <c r="E85" i="53"/>
  <c r="H80" i="53"/>
  <c r="AA57" i="10"/>
  <c r="AA59" i="10" s="1"/>
  <c r="D4" i="42"/>
  <c r="G96" i="53"/>
  <c r="E38" i="53" s="1"/>
  <c r="C4" i="42"/>
  <c r="E27" i="41"/>
  <c r="C6" i="42" s="1"/>
  <c r="I25" i="41"/>
  <c r="G25" i="41"/>
  <c r="E29" i="41" s="1"/>
  <c r="J59" i="10"/>
  <c r="N59" i="10"/>
  <c r="H58" i="10"/>
  <c r="R59" i="10"/>
  <c r="G103" i="53"/>
  <c r="S59" i="10"/>
  <c r="U59" i="10"/>
  <c r="D100" i="53"/>
  <c r="D103" i="53" s="1"/>
  <c r="D85" i="53"/>
  <c r="E86" i="7"/>
  <c r="E82" i="7"/>
  <c r="D12" i="42"/>
  <c r="F26" i="41"/>
  <c r="G26" i="41" s="1"/>
  <c r="C21" i="42" s="1"/>
  <c r="AC57" i="10"/>
  <c r="D21" i="42" s="1"/>
  <c r="M59" i="10"/>
  <c r="E30" i="41" l="1"/>
  <c r="D5" i="42"/>
  <c r="E40" i="53"/>
  <c r="G114" i="53"/>
  <c r="E42" i="53" s="1"/>
  <c r="E44" i="53" s="1"/>
  <c r="H98" i="53"/>
  <c r="H103" i="53" s="1"/>
  <c r="H85" i="53"/>
  <c r="AA58" i="10"/>
  <c r="D40" i="53"/>
  <c r="E114" i="53"/>
  <c r="D42" i="53" s="1"/>
  <c r="D44" i="53" s="1"/>
  <c r="G21" i="7"/>
  <c r="L31" i="10"/>
  <c r="J18" i="4"/>
  <c r="C36" i="53"/>
  <c r="D96" i="53"/>
  <c r="C38" i="53" s="1"/>
  <c r="F27" i="41"/>
  <c r="D6" i="42" s="1"/>
  <c r="D114" i="53"/>
  <c r="C42" i="53" s="1"/>
  <c r="C44" i="53" s="1"/>
  <c r="C40" i="53"/>
  <c r="C20" i="42"/>
  <c r="G27" i="41"/>
  <c r="E31" i="41"/>
  <c r="D36" i="53"/>
  <c r="E96" i="53"/>
  <c r="D38" i="53" s="1"/>
  <c r="H96" i="53" l="1"/>
  <c r="F38" i="53" s="1"/>
  <c r="F36" i="53"/>
  <c r="H21" i="7"/>
  <c r="M31" i="10"/>
  <c r="K18" i="4"/>
  <c r="H114" i="53"/>
  <c r="F42" i="53" s="1"/>
  <c r="F44" i="53" s="1"/>
  <c r="F40" i="53"/>
  <c r="I21" i="7" l="1"/>
  <c r="N31" i="10"/>
  <c r="L18" i="4"/>
  <c r="J21" i="7" l="1"/>
  <c r="O31" i="10"/>
  <c r="M18" i="4"/>
  <c r="K21" i="7" l="1"/>
  <c r="P31" i="10"/>
  <c r="N18" i="4"/>
  <c r="L21" i="7" l="1"/>
  <c r="Q31" i="10"/>
  <c r="O18" i="4"/>
  <c r="M21" i="7" l="1"/>
  <c r="R31" i="10"/>
  <c r="P18" i="4"/>
  <c r="N21" i="7" l="1"/>
  <c r="S31" i="10"/>
  <c r="Q18" i="4"/>
  <c r="O21" i="7" l="1"/>
  <c r="T31" i="10"/>
  <c r="R18" i="4"/>
  <c r="P21" i="7" l="1"/>
  <c r="U31" i="10"/>
  <c r="S18" i="4"/>
  <c r="Q21" i="7" l="1"/>
  <c r="V31" i="10"/>
  <c r="T18" i="4"/>
  <c r="R21" i="7" l="1"/>
  <c r="W31" i="10"/>
  <c r="U18" i="4"/>
  <c r="S21" i="7" l="1"/>
  <c r="X31" i="10"/>
  <c r="V18" i="4"/>
  <c r="T21" i="7" l="1"/>
  <c r="Y31" i="10"/>
  <c r="W18" i="4"/>
  <c r="U21" i="7" l="1"/>
  <c r="Z31" i="10"/>
  <c r="X18" i="4"/>
  <c r="V21" i="7" l="1"/>
  <c r="AA31" i="10"/>
</calcChain>
</file>

<file path=xl/sharedStrings.xml><?xml version="1.0" encoding="utf-8"?>
<sst xmlns="http://schemas.openxmlformats.org/spreadsheetml/2006/main" count="1764" uniqueCount="1173">
  <si>
    <t>Name of National Nature Reserve:</t>
  </si>
  <si>
    <t xml:space="preserve">National Nature Reserve: </t>
  </si>
  <si>
    <t>Key:</t>
  </si>
  <si>
    <t>Indicator</t>
  </si>
  <si>
    <t>National Nature Reserve:</t>
  </si>
  <si>
    <t>Gross asset value</t>
  </si>
  <si>
    <t>Liabilities</t>
  </si>
  <si>
    <t xml:space="preserve">Private </t>
  </si>
  <si>
    <t xml:space="preserve">External </t>
  </si>
  <si>
    <t>(£m)</t>
  </si>
  <si>
    <t>Non-renewables</t>
  </si>
  <si>
    <t>Renewables</t>
  </si>
  <si>
    <t xml:space="preserve">Total </t>
  </si>
  <si>
    <t xml:space="preserve">value </t>
  </si>
  <si>
    <t xml:space="preserve">Of which reported in </t>
  </si>
  <si>
    <t>financial accounts</t>
  </si>
  <si>
    <t>Provisioning</t>
  </si>
  <si>
    <t xml:space="preserve">Cultural </t>
  </si>
  <si>
    <t>○ Minor</t>
  </si>
  <si>
    <t>Micro and regional climate regulation.</t>
  </si>
  <si>
    <t>Cultivated crops.</t>
  </si>
  <si>
    <t>Reared animals and their outputs.</t>
  </si>
  <si>
    <t>Wild plants, algae and their outputs.</t>
  </si>
  <si>
    <t>Wild animals and their outputs.</t>
  </si>
  <si>
    <t>Plants and algae from on-site aquaculture.</t>
  </si>
  <si>
    <t>Animals from on-site aquaculture.</t>
  </si>
  <si>
    <t>Surface water.</t>
  </si>
  <si>
    <t>Ground water.</t>
  </si>
  <si>
    <t>Plant resources that generate energy.</t>
  </si>
  <si>
    <t>Animal resources that generate energy.</t>
  </si>
  <si>
    <t>Filtration, sequestration, storage or accumulation of waste by ecosystems.</t>
  </si>
  <si>
    <t>Maintenance of the hydrological cycle and water flow.</t>
  </si>
  <si>
    <t>Flood protection.</t>
  </si>
  <si>
    <t>Ventilation and transpiration.</t>
  </si>
  <si>
    <t>Pollination and seed dispersal.</t>
  </si>
  <si>
    <t>Maintaining habitats for reproduction and nurseries.</t>
  </si>
  <si>
    <t>Weathering processes.</t>
  </si>
  <si>
    <t>Decomposition and fixing processes.</t>
  </si>
  <si>
    <t>Chemical condition of freshwaters.</t>
  </si>
  <si>
    <t>Chemical condition of salt waters.</t>
  </si>
  <si>
    <t>Fibres and other materials for direct use or processing.</t>
  </si>
  <si>
    <t>Materials for agricultural use.</t>
  </si>
  <si>
    <t>Filtration, sequestration, storage or accumulation of pollutants by organisms.</t>
  </si>
  <si>
    <t>Genetic materials from all organisms.</t>
  </si>
  <si>
    <t>Draught power provided by animals.</t>
  </si>
  <si>
    <t>Bio-remediation of waste by organisms.</t>
  </si>
  <si>
    <t>Moderation of smell, noise or visual impacts.</t>
  </si>
  <si>
    <t>Dilution of waste by the atmosphere, freshwater or marine ecosystems.</t>
  </si>
  <si>
    <t>Stabilisation of land masses and control of erosion rates.</t>
  </si>
  <si>
    <t>Wind protection.</t>
  </si>
  <si>
    <t>Category</t>
  </si>
  <si>
    <t>Regulation and maintenance</t>
  </si>
  <si>
    <t>Description of activity (optional)</t>
  </si>
  <si>
    <t>Source of information</t>
  </si>
  <si>
    <t>Who benefits?</t>
  </si>
  <si>
    <t>NE</t>
  </si>
  <si>
    <t>Environmental good or service</t>
  </si>
  <si>
    <t>Year</t>
  </si>
  <si>
    <t>Assumptions and other information</t>
  </si>
  <si>
    <t>-  None</t>
  </si>
  <si>
    <t xml:space="preserve">Source of information </t>
  </si>
  <si>
    <t>Mostly others who don't pay NE for it</t>
  </si>
  <si>
    <t>NE &amp;/or others who pay NE for it</t>
  </si>
  <si>
    <t>Beneficiaries:</t>
  </si>
  <si>
    <t>Who pays for it?</t>
  </si>
  <si>
    <t>Not NE</t>
  </si>
  <si>
    <t>Costs paid for by NE:</t>
  </si>
  <si>
    <t>Inputs made by others (not NE):</t>
  </si>
  <si>
    <t>Costs not met by NE (%)</t>
  </si>
  <si>
    <t>Costs met by NE (%)</t>
  </si>
  <si>
    <t>Brief description of environmental good or service</t>
  </si>
  <si>
    <t>Assumptions made in estimating anticipated changes</t>
  </si>
  <si>
    <t>Why the indicator is useful to include</t>
  </si>
  <si>
    <t>Environmental goods and services listed in Physical Flow account</t>
  </si>
  <si>
    <t>Total value (not considering cost)</t>
  </si>
  <si>
    <t>No data entry needed</t>
  </si>
  <si>
    <t>Revenue (£) per unit (not considering costs)</t>
  </si>
  <si>
    <t>Quantity of Asset Indicators</t>
  </si>
  <si>
    <t>Scientific (Research)</t>
  </si>
  <si>
    <t>Your name:</t>
  </si>
  <si>
    <t>Buffering and reducing the strength of mass flows of sediment.</t>
  </si>
  <si>
    <t>Ecosystem provides pest control.</t>
  </si>
  <si>
    <t>Ecosystem provides disease control.</t>
  </si>
  <si>
    <t>Impacts on greenhouse gas concentrations (contributing to global climate regulation).</t>
  </si>
  <si>
    <t>Brief description of environmental good or service delivered by NNR</t>
  </si>
  <si>
    <t>Purpose:</t>
  </si>
  <si>
    <t>Quality of asset indicators</t>
  </si>
  <si>
    <t>Other indicators</t>
  </si>
  <si>
    <t xml:space="preserve">Experiences that directly involve plants, animals and land/sea scapes. </t>
  </si>
  <si>
    <t>Physical uses of land/sea scapes.</t>
  </si>
  <si>
    <t>Educational.</t>
  </si>
  <si>
    <t>Heritage, cultural.</t>
  </si>
  <si>
    <t>Aesthetic.</t>
  </si>
  <si>
    <t>Symbolic.</t>
  </si>
  <si>
    <t>Sacred and/or religious.</t>
  </si>
  <si>
    <t>Existence for current generation.</t>
  </si>
  <si>
    <t>If this revenue is in NE's financial accounts, select 'Yes' (entering 'No' is optional)</t>
  </si>
  <si>
    <t xml:space="preserve">Purpose: </t>
  </si>
  <si>
    <t>Information on how to complete this is provided in the column headings and pop-up boxes in the white cells.</t>
  </si>
  <si>
    <t>Add categories in these blank rows.</t>
  </si>
  <si>
    <t>Value of volunteer time inputs (to volunteers)</t>
  </si>
  <si>
    <t>Used to estimate the value of the time that volunteers input to the NNR.</t>
  </si>
  <si>
    <t>Discounting is a technique used by economists so they can compare or combine benefits (or costs) that occur in different years. It is necessary to use for this account.</t>
  </si>
  <si>
    <t>Tip: read through all the categories of costs in the column below before you start entering information.</t>
  </si>
  <si>
    <t>Tab label</t>
  </si>
  <si>
    <t>Enter data</t>
  </si>
  <si>
    <t>Introduction</t>
  </si>
  <si>
    <t>Yes</t>
  </si>
  <si>
    <t>Identifies the environmental goods and services provided by the NNR.</t>
  </si>
  <si>
    <t>Indicators of the quantity, health and productivity of ecosystem(s).</t>
  </si>
  <si>
    <t>No</t>
  </si>
  <si>
    <t>Full title</t>
  </si>
  <si>
    <t>Summary description</t>
  </si>
  <si>
    <t>Focus</t>
  </si>
  <si>
    <t>Return to Focus</t>
  </si>
  <si>
    <t>Sheets with label starting 'Tip'</t>
  </si>
  <si>
    <t>Various</t>
  </si>
  <si>
    <t>Tips on completing the workbook (all accessed by links provided in the relevant sheets)</t>
  </si>
  <si>
    <t>Specific to each tip. Links that take you to the tips are provided at appropriate points in the workbook. You do not need to read them separately.</t>
  </si>
  <si>
    <t>Values of the environmental goods and services provided by the NNR (not considering costs).</t>
  </si>
  <si>
    <t>Environmental Goods &amp; Services</t>
  </si>
  <si>
    <t>Go to the next sheet</t>
  </si>
  <si>
    <t>Important: please read the following before you start:</t>
  </si>
  <si>
    <t>Go to next sheet</t>
  </si>
  <si>
    <t>Leave blank if none</t>
  </si>
  <si>
    <t>Inputs to food for human consumption (not inputs to animal or crop production):</t>
  </si>
  <si>
    <t>Drinking water for humans:</t>
  </si>
  <si>
    <t>Biomass for human use:</t>
  </si>
  <si>
    <t>Water for human use (not drinking):</t>
  </si>
  <si>
    <t>Energy for human use (other than food):</t>
  </si>
  <si>
    <t>Degradation of waste and toxic materials &amp; moderation of other nuisances:</t>
  </si>
  <si>
    <t>Maintenance and moderation of flows:</t>
  </si>
  <si>
    <t>Maintenance of physical, chemical or biological conditions:</t>
  </si>
  <si>
    <t>Recreation &amp; other physical activities &amp; experiences:</t>
  </si>
  <si>
    <t>Intellectual activities &amp; representations of nature (for example, in art):</t>
  </si>
  <si>
    <t>Spiritual, symbolic &amp; other interactions with nature:</t>
  </si>
  <si>
    <t>Other:</t>
  </si>
  <si>
    <t>Environmental goods &amp; services provided by NNR</t>
  </si>
  <si>
    <t>Click on 'level of provision' cell for more information</t>
  </si>
  <si>
    <t xml:space="preserve">Date (to provide version control): </t>
  </si>
  <si>
    <t>● Main</t>
  </si>
  <si>
    <t>One of the main goods/services relative to others provided by NNR</t>
  </si>
  <si>
    <t>Provided at low levels relative to other goods/services provided by NNR</t>
  </si>
  <si>
    <t>Remember to save the file!</t>
  </si>
  <si>
    <t>Current value of conservation for future generations.</t>
  </si>
  <si>
    <t>Access off-site and entertainment.</t>
  </si>
  <si>
    <t>The analysis does not include the benefits that volunteers gain from volunteering (Fujiwara et al (2013) found that UK adults who volunteer regularly derive a wellbeing benefit on average equivalent to a monetary value of about £13,500 per person per year).</t>
  </si>
  <si>
    <t>Value of recreational visits</t>
  </si>
  <si>
    <t>Assumptions as for recreational visits.</t>
  </si>
  <si>
    <t>To Natural England</t>
  </si>
  <si>
    <t>To others</t>
  </si>
  <si>
    <t xml:space="preserve">Net asset value </t>
  </si>
  <si>
    <t>Data for graph:</t>
  </si>
  <si>
    <t>In explanation:</t>
  </si>
  <si>
    <t xml:space="preserve">Net natural capital asset value is the gross asset value minus the liabilities. </t>
  </si>
  <si>
    <t>Predicted value (£) with delivery of the plan to achieve the goal:</t>
  </si>
  <si>
    <t>Reserve Warden, Support Adviser</t>
  </si>
  <si>
    <t>Reserve Manager, Adviser</t>
  </si>
  <si>
    <t>Senior Reserve Manager, Group Coordinator, Lead Adviser</t>
  </si>
  <si>
    <t xml:space="preserve">The account assumes that for all staff involved in NNR work, the basic hours for their pay band is 36 hours / week and that they are paid the maximum salary for their pay band. </t>
  </si>
  <si>
    <t>This is because many NNR staff previously worked for English Nature and have worked for Natural England and legacy bodies for a long time.</t>
  </si>
  <si>
    <t>The category 'Costs in CMSi paid by NE excluding capital items' includes the costs of habitat and species management, management of  estate structures (e.g. gates, bridges, fences under £5,000), tool purchase, maintenance of reserve machinery, volunteer support costs and NNR base maintenance.</t>
  </si>
  <si>
    <t xml:space="preserve">Capital items purchased by NE' include the purchase of machinery (over £5,000) and provision or maintenance of major buildings or structures (over £5,000).  
</t>
  </si>
  <si>
    <t>Working 43 hrs / week</t>
  </si>
  <si>
    <t>Source of full salary costs for basic hours: Natural England pay tool (1 April 2016). Data include Natural England's National Insurance and pension contributions.</t>
  </si>
  <si>
    <t xml:space="preserve">Unless specified otherwise, the account assumes that NNR staff work 43 hours / week. The full salary costs are calculated pro rata using full salary costs for 36 hours / week. </t>
  </si>
  <si>
    <t>This sheet provides an overview of the contents and summary of the structure.</t>
  </si>
  <si>
    <t>G &amp; S</t>
  </si>
  <si>
    <t>Ecological Indicators</t>
  </si>
  <si>
    <t>Costs</t>
  </si>
  <si>
    <t>Indicators</t>
  </si>
  <si>
    <t>Net Asset Value</t>
  </si>
  <si>
    <t>Monetary Value of Flow of Goods &amp; Services</t>
  </si>
  <si>
    <t>Calculation of Net Asset Value</t>
  </si>
  <si>
    <t>Key principles to employ - select here</t>
  </si>
  <si>
    <t>Brief description of the boundary of the land that this assessment covers:</t>
  </si>
  <si>
    <t>Focus of the Economic Assessment</t>
  </si>
  <si>
    <t>How to complete this sheet - select here.</t>
  </si>
  <si>
    <t>Return to G &amp; S</t>
  </si>
  <si>
    <t xml:space="preserve">Does your assessment focus only on the operations of Natural England or also include the operations of tenants? </t>
  </si>
  <si>
    <t>How to enter information in the workbook - select here</t>
  </si>
  <si>
    <t>Advice on whether to include the operations of tenants - select here</t>
  </si>
  <si>
    <t>Summarises the environmental goods and services (ecosystem services) provided by the NNR.</t>
  </si>
  <si>
    <t>Not provided by the NNR (Cell may be left blank)</t>
  </si>
  <si>
    <t>Unit of measurement per year (e.g. tonnes)</t>
  </si>
  <si>
    <t>Cultural</t>
  </si>
  <si>
    <t>Level in</t>
  </si>
  <si>
    <t>How to complete - select here</t>
  </si>
  <si>
    <t>Return to Indicators</t>
  </si>
  <si>
    <t>Source of data</t>
  </si>
  <si>
    <t>Total revenue to NE (not considering costs) (£ / year)</t>
  </si>
  <si>
    <r>
      <t>Who benefits?</t>
    </r>
    <r>
      <rPr>
        <i/>
        <sz val="11"/>
        <color theme="1"/>
        <rFont val="Arial"/>
        <family val="2"/>
      </rPr>
      <t xml:space="preserve"> </t>
    </r>
  </si>
  <si>
    <t xml:space="preserve">Enter information only for goods and services that the NNR or NE is paid for. Enter either the total revenue per year or revenue per unit. </t>
  </si>
  <si>
    <t xml:space="preserve">Enter for all goods and </t>
  </si>
  <si>
    <t xml:space="preserve">Tip: use data from last financial year if it was a typical year or the annual average for several recent years if last year was unusual. </t>
  </si>
  <si>
    <t>2017</t>
  </si>
  <si>
    <t>Net carbon flux</t>
  </si>
  <si>
    <t>Anticipated changes in the area of habitats over the next 20 years:</t>
  </si>
  <si>
    <t>Educational visits by the public (e.g. guided walks for the public, scouts, local interest groups) that have educational input by NNR staff or volunteers.</t>
  </si>
  <si>
    <t>Recreational visits.</t>
  </si>
  <si>
    <t>Educational visits by groups of the public that have no educational input by NNR staff or NNR volunteers.</t>
  </si>
  <si>
    <r>
      <t xml:space="preserve">Educational visits by school pupils with </t>
    </r>
    <r>
      <rPr>
        <b/>
        <sz val="11"/>
        <color theme="1"/>
        <rFont val="Arial"/>
        <family val="2"/>
      </rPr>
      <t>no</t>
    </r>
    <r>
      <rPr>
        <sz val="11"/>
        <color theme="1"/>
        <rFont val="Arial"/>
        <family val="2"/>
      </rPr>
      <t xml:space="preserve"> educational input from NNR staff or NNR volunteers.</t>
    </r>
  </si>
  <si>
    <r>
      <t xml:space="preserve">Educational visits by students (beyond secondary / high school) with </t>
    </r>
    <r>
      <rPr>
        <b/>
        <sz val="11"/>
        <color theme="1"/>
        <rFont val="Arial"/>
        <family val="2"/>
      </rPr>
      <t>no</t>
    </r>
    <r>
      <rPr>
        <sz val="11"/>
        <color theme="1"/>
        <rFont val="Arial"/>
        <family val="2"/>
      </rPr>
      <t xml:space="preserve"> educational input from NNR staff or NNR volunteers.</t>
    </r>
  </si>
  <si>
    <t>Click here to enter projections</t>
  </si>
  <si>
    <t>Assumptions and notes about estimates for future years (not the first year)</t>
  </si>
  <si>
    <t>Quantity per year in:</t>
  </si>
  <si>
    <t>Click here to enter data for the first year for another good or service.</t>
  </si>
  <si>
    <t xml:space="preserve">Projections for Physical Flow of Goods and Services </t>
  </si>
  <si>
    <r>
      <t xml:space="preserve">Educational visits by </t>
    </r>
    <r>
      <rPr>
        <b/>
        <sz val="11"/>
        <color theme="1"/>
        <rFont val="Arial"/>
        <family val="2"/>
      </rPr>
      <t>school pupils</t>
    </r>
    <r>
      <rPr>
        <sz val="11"/>
        <color theme="1"/>
        <rFont val="Arial"/>
        <family val="2"/>
      </rPr>
      <t xml:space="preserve"> that have educational input from NNR staff or volunteers. </t>
    </r>
  </si>
  <si>
    <r>
      <t xml:space="preserve">Educational visits by </t>
    </r>
    <r>
      <rPr>
        <b/>
        <sz val="11"/>
        <color theme="1"/>
        <rFont val="Arial"/>
        <family val="2"/>
      </rPr>
      <t xml:space="preserve">students </t>
    </r>
    <r>
      <rPr>
        <sz val="11"/>
        <color theme="1"/>
        <rFont val="Arial"/>
        <family val="2"/>
      </rPr>
      <t>(in education beyond secondary / high school) that have educational input from NNR staff or volunteers.</t>
    </r>
  </si>
  <si>
    <t xml:space="preserve">To complete this sheet: enter revised projections for future years and any assumptions and notes. Then click on the link below to return to the previous sheet. </t>
  </si>
  <si>
    <t>Once data on projections for all goods and services have been entered, click on the link at the bottom of the sheet.</t>
  </si>
  <si>
    <t>Focuses on the environmental goods and services provided by the NNR</t>
  </si>
  <si>
    <t>Total costs paid for by NE (£/yr)</t>
  </si>
  <si>
    <t>Source of estimate</t>
  </si>
  <si>
    <t>No. of days input of volunteer time to NNR:</t>
  </si>
  <si>
    <t>Unit</t>
  </si>
  <si>
    <t>No. days / yr</t>
  </si>
  <si>
    <t>No. visits / yr</t>
  </si>
  <si>
    <t>No. people / yr</t>
  </si>
  <si>
    <t>Units (eg tonnes / yr)</t>
  </si>
  <si>
    <t>£ / yr</t>
  </si>
  <si>
    <t xml:space="preserve">Volunteer unskilled inputs e.g. clearing a site (would be paid about £50/day if hired) (days / yr) </t>
  </si>
  <si>
    <t>Volunteer skilled inputs e.g. erecting fences (would be paid about £150/day if hired) (days / yr)</t>
  </si>
  <si>
    <t>Volunteer professional inputs e.g. ecological surveys (would be paid about £350/day if hired) (days / yr)</t>
  </si>
  <si>
    <t xml:space="preserve">  Cost of their time to volunteers (£ / yr) - don't enter</t>
  </si>
  <si>
    <t>Contributions in kind by others excluding volunteer time (£ / yr)</t>
  </si>
  <si>
    <t>Financial costs paid for by others (£ / yr)</t>
  </si>
  <si>
    <t>Total value of inputs made by others (£ / yr)</t>
  </si>
  <si>
    <t>Costs in CMSi paid by NE excluding capital items (£ / yr)</t>
  </si>
  <si>
    <t>Purchases of capital items by NE (£ / yr)</t>
  </si>
  <si>
    <t>Costs of IT for NE staff (£ / yr) - don't enter</t>
  </si>
  <si>
    <t>Total costs (paid by others plus paid for by NE) (£ / yr)</t>
  </si>
  <si>
    <t>by Senior Reserve Managers, Group Coordinators &amp; Lead Advisers (FTE)</t>
  </si>
  <si>
    <t>by Reserve Wardens &amp; Support Advisers (FTE)</t>
  </si>
  <si>
    <t>by Reserve Managers &amp; Advisers (FTE)</t>
  </si>
  <si>
    <t>FTE</t>
  </si>
  <si>
    <t>Total salary costs for Natural England staff:</t>
  </si>
  <si>
    <t>Apprentices &amp; Trainees (see note below)</t>
  </si>
  <si>
    <t>For the purposes of the assessment, it is assumed that apprentices and trainees work basic hours (36 hours / week) and that their full salary costs are 90% of the full salary costs for a reserve warden or support adviser.</t>
  </si>
  <si>
    <t>by Apprentices &amp; Trainees (FTE)</t>
  </si>
  <si>
    <t>Staff inputs (No. of Full Time Equivalents (FTE)):</t>
  </si>
  <si>
    <t>IT costs for Natural England staff:</t>
  </si>
  <si>
    <t>Cost of standard IT contract per member of staff (£ / year)</t>
  </si>
  <si>
    <t>Other costs not in CMSi paid by NE (leases, fleet, utilities &amp; rates)(£ / yr)</t>
  </si>
  <si>
    <t>Projections of Costs</t>
  </si>
  <si>
    <t xml:space="preserve">Note that the volunteers that make input to NNRs have a range of relevant skills (unskilled, skilled in land-based work, and ecological experts). This is reflected in the values used for volunteer inputs (which are provided in the Values sheet). </t>
  </si>
  <si>
    <t xml:space="preserve">  Cost to NE of staff inputs (£ / yr) - don't enter</t>
  </si>
  <si>
    <t>Assumptions &amp; other info</t>
  </si>
  <si>
    <t>Click here to enter projections.</t>
  </si>
  <si>
    <t>Don't enter. Click here to enter projections</t>
  </si>
  <si>
    <t>Return to G &amp; S Initial</t>
  </si>
  <si>
    <t xml:space="preserve">Initial Physical Flow of Goods and Services </t>
  </si>
  <si>
    <t>Return to Cost Initial</t>
  </si>
  <si>
    <t>Initial Costs</t>
  </si>
  <si>
    <t>If you are using data from several years (specified in the Focus sheet), make sure that the quantities that you enter are the annual average.</t>
  </si>
  <si>
    <t>Important: Enter all monetary costs as negative numbers (they will appear in brackets). Enter amounts of time input by staff and volunteers as positive numbers (without a minus sign).</t>
  </si>
  <si>
    <t>Click here to enter data for the first year for another input or cost.</t>
  </si>
  <si>
    <t>Beneficiaries &amp; Revenue</t>
  </si>
  <si>
    <t>In column C, using the drop down box, specify who benefits from each good and service that you entered in the G&amp; S Initial sheet</t>
  </si>
  <si>
    <t xml:space="preserve">In the columns that follow, enter information on revenue that the NNR receives for each good or service (leave cells blank if it does not receive any). </t>
  </si>
  <si>
    <t>Do not provide information on the Single Farm Payment as it is not included in the assessment.</t>
  </si>
  <si>
    <t>services in the G &amp; S Initial Sheet</t>
  </si>
  <si>
    <t>Units (from G&amp; S Initial sheet)</t>
  </si>
  <si>
    <t>No. of units (from G&amp;S Initial sheet)</t>
  </si>
  <si>
    <r>
      <t>tonnes of CO</t>
    </r>
    <r>
      <rPr>
        <vertAlign val="subscript"/>
        <sz val="11"/>
        <color theme="1"/>
        <rFont val="Arial"/>
        <family val="2"/>
      </rPr>
      <t xml:space="preserve">2 </t>
    </r>
    <r>
      <rPr>
        <sz val="11"/>
        <color theme="1"/>
        <rFont val="Arial"/>
        <family val="2"/>
      </rPr>
      <t>equivalent / yr</t>
    </r>
  </si>
  <si>
    <t>No. engagements / yr</t>
  </si>
  <si>
    <t>Engagement with people through social media (as measured through Facebook and Blog statistics etc).</t>
  </si>
  <si>
    <t xml:space="preserve">are visits by schools mostly for half a day or a full day? </t>
  </si>
  <si>
    <t>%</t>
  </si>
  <si>
    <t>For educational visits with educational input by NNR staff or NNR volunteers (select response from drop down list):</t>
  </si>
  <si>
    <t xml:space="preserve">how long are visits by students (beyond secondary / high school)? </t>
  </si>
  <si>
    <t>Half day</t>
  </si>
  <si>
    <t>Full day</t>
  </si>
  <si>
    <t>Based on the following sample of admission fees charged by other providers (no fee is charged for many sites): RSPB: Dearne Valley - Old Moor £5; Rainham Marshes £5; Strumpshaw Fen £3.50. Hampshire County Council: Titchfield Haven NNR £4.25. Norfolk Wildlife Trust: Cley Marshes £5. Yorkshire Wildlife Trust: Potteric Carr £4.</t>
  </si>
  <si>
    <t>£ per visit</t>
  </si>
  <si>
    <t>Recreational visit by an adult</t>
  </si>
  <si>
    <t>Recreational visit by a child (under 16)</t>
  </si>
  <si>
    <t>Employs data from 10 October 2017.</t>
  </si>
  <si>
    <t>Based on the following sample of admission fees charged by other providers (no fee is charged for many sites): RSPB: Dearne Valley - Old Moor £2.50; Rainham Marshes £3; Strumpshaw Fen £1.50. Hampshire County Council: Titchfield Haven NNR £2. Norfolk Wildlife Trust: Cley Marshes free. Yorkshire Wildlife Trust: Potteric Carr £2.50).</t>
  </si>
  <si>
    <t xml:space="preserve">Estimated based on admission fee for recreational visit by a child non-member (see table above for recreational visits). </t>
  </si>
  <si>
    <t>Average cost calculated for a sample of fees for a half day educational visit for school pupils charged by other providers (Derbyshire Wildlife Trust (WT) £4 , Durham WT £2, RSPB £3.50-£4 (Primary), Staffordshire WT £3.50, Warwickshire WT £4.50)</t>
  </si>
  <si>
    <t>Assumes cost of a visit by a student (beyond secondary / high school) is the same as the cost for a school pupil.</t>
  </si>
  <si>
    <t>Estimated as double the cost of a half day educational visit</t>
  </si>
  <si>
    <t>Estimated based on admission fee for recreational visit by a student non-member. Average calculated from the following sample of admission fees charged by other providers: RSPB: Dearne Valley - Old Moor £3.50; Rainham Marshes £5 (same as adult); Strumpshaw Fen £2.50. Hampshire County Council: Titchfield Haven NNR £4. Norfolk Wildlife Trust: Cley Marshes £5 (same as adult). Yorkshire Wildlife Trust: Potteric Carr £3.</t>
  </si>
  <si>
    <t>Assumptions</t>
  </si>
  <si>
    <t>Estimated as same as cost for a full day for school pupils</t>
  </si>
  <si>
    <r>
      <t xml:space="preserve">Educational visits by school pupils that have </t>
    </r>
    <r>
      <rPr>
        <b/>
        <sz val="11"/>
        <color theme="1"/>
        <rFont val="Arial"/>
        <family val="2"/>
      </rPr>
      <t>no</t>
    </r>
    <r>
      <rPr>
        <sz val="11"/>
        <color theme="1"/>
        <rFont val="Arial"/>
        <family val="2"/>
      </rPr>
      <t xml:space="preserve"> educational input from the NNR team</t>
    </r>
  </si>
  <si>
    <t xml:space="preserve">Full day educational visits by students (beyond secondary / high school) that have educational input by NNR staff or NNR volunteers </t>
  </si>
  <si>
    <t xml:space="preserve">Half day educational visits by students or school pupils that have educational input by NNR staff or NNR volunteers </t>
  </si>
  <si>
    <t xml:space="preserve">Full day educational visits by school pupils that have educational input by NNR staff or NNR volunteers </t>
  </si>
  <si>
    <r>
      <t xml:space="preserve">Educational visits by students (beyond secondary / high school) that have </t>
    </r>
    <r>
      <rPr>
        <b/>
        <sz val="11"/>
        <color theme="1"/>
        <rFont val="Arial"/>
        <family val="2"/>
      </rPr>
      <t>no</t>
    </r>
    <r>
      <rPr>
        <sz val="11"/>
        <color theme="1"/>
        <rFont val="Arial"/>
        <family val="2"/>
      </rPr>
      <t xml:space="preserve"> educational input from the NNR team</t>
    </r>
  </si>
  <si>
    <t>Educational visits by the public that have educational input from NNR staff or volunteers</t>
  </si>
  <si>
    <r>
      <t xml:space="preserve">Educational visits by the public that have </t>
    </r>
    <r>
      <rPr>
        <b/>
        <sz val="12"/>
        <color theme="1"/>
        <rFont val="Arial"/>
        <family val="2"/>
      </rPr>
      <t>no</t>
    </r>
    <r>
      <rPr>
        <sz val="12"/>
        <color theme="1"/>
        <rFont val="Arial"/>
        <family val="2"/>
      </rPr>
      <t xml:space="preserve"> educational input from the NNR team</t>
    </r>
  </si>
  <si>
    <t>Estimated based on the admission fee for an adult</t>
  </si>
  <si>
    <t>This estimate is used because for those guided walks that charge, the fees tend to be less than the average admission fee for a recreational visit (reflecting the public engagement purpose of the organisations that arrange them).</t>
  </si>
  <si>
    <t>Estimated based on admission fee for a recreational visit by an adult.</t>
  </si>
  <si>
    <t>Value of Goods &amp; Services:</t>
  </si>
  <si>
    <r>
      <t>Note: convert t of C to t of CO</t>
    </r>
    <r>
      <rPr>
        <vertAlign val="subscript"/>
        <sz val="11"/>
        <color theme="1"/>
        <rFont val="Arial"/>
        <family val="2"/>
      </rPr>
      <t>2</t>
    </r>
    <r>
      <rPr>
        <sz val="11"/>
        <color theme="1"/>
        <rFont val="Arial"/>
        <family val="2"/>
      </rPr>
      <t xml:space="preserve"> by multiplying by ratio of the molecular weight of CO2 to C (44/12) </t>
    </r>
  </si>
  <si>
    <t>Value of unskilled labour</t>
  </si>
  <si>
    <t>Value of skilled labour</t>
  </si>
  <si>
    <t>Value of professional labour</t>
  </si>
  <si>
    <t>£ / day</t>
  </si>
  <si>
    <t>Basic hours for the pay bands for NNR staff (hours / week)</t>
  </si>
  <si>
    <t>Hours worked by NNR staff (hours / week)</t>
  </si>
  <si>
    <t>G &amp; S Initial</t>
  </si>
  <si>
    <t>G &amp; S Projections</t>
  </si>
  <si>
    <t>Projections of quantities of goods and services over the next 20 years.</t>
  </si>
  <si>
    <t>Initial Physical Flow of Goods &amp; Services</t>
  </si>
  <si>
    <t>Projections of Physical Flow of Goods &amp; Services</t>
  </si>
  <si>
    <t>Costs Initial</t>
  </si>
  <si>
    <t>Projections of costs over the next 20 years.</t>
  </si>
  <si>
    <t>Values</t>
  </si>
  <si>
    <t>Costs Projections</t>
  </si>
  <si>
    <t>After completing it, please enter information in the section below.</t>
  </si>
  <si>
    <t>Make sure that you scroll down to the rows at the bottom of the table.</t>
  </si>
  <si>
    <t>Monetary Value of Environmental Goods &amp; Services (not considering costs)</t>
  </si>
  <si>
    <t>The goal for the NNR for the next 20 years that is used for the assessment</t>
  </si>
  <si>
    <t xml:space="preserve">Tip: the goal could be continuation of the current situation or it could be more ambitious. </t>
  </si>
  <si>
    <t>If the assessment is providing a baseline for future evaluation, the evaluation will be for delivery of the goal that is used.</t>
  </si>
  <si>
    <t>revenue from these, costs and ecological indicators.</t>
  </si>
  <si>
    <t xml:space="preserve">You will be providing projections on the following: quantity of environmental goods and services provided by the NNR, </t>
  </si>
  <si>
    <t>The goal determines the projections that are used in the assessment. The projections are for a plan (for the next 20 years) to deliver the goal.</t>
  </si>
  <si>
    <t>Tip: if you are using data from several years, make sure that the quantities that you enter are the annual average.</t>
  </si>
  <si>
    <t xml:space="preserve">Sets out projections for the quantity of goods and services provided by the NNR. These are for a plan to deliver the goal (set out in the Focus sheet).  </t>
  </si>
  <si>
    <t>Could be developed (flood storage)</t>
  </si>
  <si>
    <t>Could be more</t>
  </si>
  <si>
    <t>Could be developed</t>
  </si>
  <si>
    <t>Big draw</t>
  </si>
  <si>
    <t>If the level will change in future years, please specify what it will change to (and in which year) for the next 20 years.</t>
  </si>
  <si>
    <t xml:space="preserve">If the assessment includes the operations of tenants (specified in the Focus sheet), remember to include the revenue that tenants receive. Enter revenue only from tenants' operations on the NNR. </t>
  </si>
  <si>
    <t>Volunteer makes soap from Burdock. Bog Myrtle could be used for making beer - could increase awareness of NNR and be a source of revenue.</t>
  </si>
  <si>
    <t>A demand for sphagnum moss- it could be sold to other sites that need it / used to create new bogs/ sold for horticultural use.</t>
  </si>
  <si>
    <t xml:space="preserve">Unsuitable - There are no extraction points and it would not be beneficial to take water off of the reserve. </t>
  </si>
  <si>
    <t>Reed beds lock in nutrients; absorb heavy metal nutrients and organic components.</t>
  </si>
  <si>
    <t>Provide shelter for agricultural land with trees.</t>
  </si>
  <si>
    <t>?</t>
  </si>
  <si>
    <t>Scrub clearance etc.</t>
  </si>
  <si>
    <t>NNR staff records</t>
  </si>
  <si>
    <t>Water hydrology project – Nottingham Trent University, Adder Project, Butterfly transect published by BC</t>
  </si>
  <si>
    <t>2016 - 2017</t>
  </si>
  <si>
    <t>£/ yr</t>
  </si>
  <si>
    <t>Deer sales via stalker</t>
  </si>
  <si>
    <t xml:space="preserve">Includes all volunteers and work experience. </t>
  </si>
  <si>
    <t>Not including work experience</t>
  </si>
  <si>
    <t xml:space="preserve">Includes: Insurance Fee for Avalon Marshes work-base, Rates, Utilities, Gas/electricity, Water, Fleet – 5 Vehicles
</t>
  </si>
  <si>
    <t>Shallow lakes</t>
  </si>
  <si>
    <t>S4 Phragmites reedbeds, S24 Phragmites-Peucedanum tall-herb fen, s26</t>
  </si>
  <si>
    <t>M22 Juncus–Cirsium fen meadow, M24 Molinia-Cirsium fen meadow</t>
  </si>
  <si>
    <t>Wet woodland W2 Salix-Betula-Phragmites woodland / W5 Alnus-Carex paniculata woodland, W1, W4, W5, W6</t>
  </si>
  <si>
    <t>Dry woodland W10</t>
  </si>
  <si>
    <t>Wet heath m15, m16</t>
  </si>
  <si>
    <t>Tussocky wetMG9</t>
  </si>
  <si>
    <t>Tussocky dry MG1</t>
  </si>
  <si>
    <t>Species rich - wet MG8</t>
  </si>
  <si>
    <t>Species rich Dry MG5</t>
  </si>
  <si>
    <t>Semi- improved MG6, MG7</t>
  </si>
  <si>
    <t>Number of Breeding Bittern</t>
  </si>
  <si>
    <t>References</t>
  </si>
  <si>
    <t>Information that is used to estimate health benefits, the monetary values of goods and services and certain costs.</t>
  </si>
  <si>
    <t>Please scroll down and enter information in the table below</t>
  </si>
  <si>
    <t>It may include sport, exercise, and brisk walking or cycling for recreation or to get to and from places, but should not include housework or physical activity that may be part of the person's job (Source: Natural England, 2017).</t>
  </si>
  <si>
    <t>Source: Natural England personal communication.</t>
  </si>
  <si>
    <t>References: Natural England and TNS. 2017. Monitor of Engagement with the Natural Environment. The national survey on people and the natural environment. Technical Report to the 2009-16 surveys. Natural England Joint Report JP023. URL: https://www.gov.uk/government/statistics/monitor-of-engagement-with-the-natural-environment-2015-to-2016 [Accessed 6.11.2017]</t>
  </si>
  <si>
    <t>Year data applies to</t>
  </si>
  <si>
    <t>Other average national data from White and others (2016) that are employed in the calculations:</t>
  </si>
  <si>
    <t>No.</t>
  </si>
  <si>
    <t>Calculated using data above.</t>
  </si>
  <si>
    <t>No. projects</t>
  </si>
  <si>
    <t>NNR is paid for these visits.</t>
  </si>
  <si>
    <t>This is because only a proportion of some staff time may be allocated to a specific NNR).</t>
  </si>
  <si>
    <t>If information on the following is available specifically for the NNR (for example, from a visitor survey), please enter it below. It is not a problem if it is not available (average national data will be used instead).</t>
  </si>
  <si>
    <t>Educational visits</t>
  </si>
  <si>
    <t>Recreational visits</t>
  </si>
  <si>
    <t xml:space="preserve">Exercise is considered here to be physical activity that is enough to raise the person's breathing rate. </t>
  </si>
  <si>
    <t>When applying HEAT, it is not necessary to know the level of exercise undertaken by individuals. The health benefits of going for a walk are assumed to be additional to the benefits other exercise that people undertake.</t>
  </si>
  <si>
    <r>
      <t xml:space="preserve">World Health Organisation. 2014. </t>
    </r>
    <r>
      <rPr>
        <i/>
        <sz val="12"/>
        <color theme="1"/>
        <rFont val="Arial"/>
        <family val="2"/>
      </rPr>
      <t>Health economic assessment tools (HEAT) for walking and for cycling. Methodology and user guide, 2014 update. Economic assessment of transport infrastructure and policies</t>
    </r>
    <r>
      <rPr>
        <sz val="12"/>
        <color theme="1"/>
        <rFont val="Arial"/>
        <family val="2"/>
      </rPr>
      <t>.</t>
    </r>
  </si>
  <si>
    <t>Financial capital</t>
  </si>
  <si>
    <t xml:space="preserve">Zero-waste and zero emissions production systems. </t>
  </si>
  <si>
    <t xml:space="preserve">Identify synergistic production systems where one organisation’s waste streams are another’s resources. </t>
  </si>
  <si>
    <t>Sustainable construction techniques.</t>
  </si>
  <si>
    <t>Other</t>
  </si>
  <si>
    <t xml:space="preserve">Material goods and infrastructure owned, leased or controlled by an organisation that contribute to production or service provision, but do not become part of its output. </t>
  </si>
  <si>
    <t>The main components include buildings, infrastructure (transport networks, communications, waste disposal systems) and technologies (from simple tools and machines to IT and engineering).</t>
  </si>
  <si>
    <t>Produced capital (also known as man-made or manufactured capital).</t>
  </si>
  <si>
    <t>Human capital:</t>
  </si>
  <si>
    <t>Includes health, knowledge, skills, intellectual outputs, motivation and capacity for relationships of the individual. Human Capital is also about joy, passion, empathy and spirituality.</t>
  </si>
  <si>
    <t xml:space="preserve">Provide training, development and life-long learning. </t>
  </si>
  <si>
    <t>Share knowledge.</t>
  </si>
  <si>
    <t xml:space="preserve">Understand and respect human values and their different cultural contexts. </t>
  </si>
  <si>
    <t xml:space="preserve">Ensure adequate health and safety arrangements, incorporating physical and mental wellbeing </t>
  </si>
  <si>
    <t xml:space="preserve">Support a high standard of human health. </t>
  </si>
  <si>
    <t xml:space="preserve">Provide a reasonable living wage and fair remuneration for employees and partners. </t>
  </si>
  <si>
    <t xml:space="preserve">Create opportunities for varied and satisfying work. </t>
  </si>
  <si>
    <t xml:space="preserve">Allow for and enhance recreation time and support individuals’ active involvement in society. </t>
  </si>
  <si>
    <t>Respect human rights.</t>
  </si>
  <si>
    <t xml:space="preserve">Use infrastructure, technologies and processes in a way that employ resources most efficiently. </t>
  </si>
  <si>
    <t xml:space="preserve">Social Capital: </t>
  </si>
  <si>
    <t xml:space="preserve">Human relationships, partnerships and co-operation. For example networks, communication channels, families, communities, </t>
  </si>
  <si>
    <t>businesses, trade unions, schools and voluntary organisations as well as social norms, values and trust.</t>
  </si>
  <si>
    <t xml:space="preserve">Provide safe, supportive living and working conditions, including family friendly policies. </t>
  </si>
  <si>
    <t>Source materials ethically.</t>
  </si>
  <si>
    <t xml:space="preserve">Treat suppliers, customers and citizens fairly. </t>
  </si>
  <si>
    <t xml:space="preserve">Respect and comply with local, national and international law. </t>
  </si>
  <si>
    <t>Prompt and full payment of taxes.</t>
  </si>
  <si>
    <t xml:space="preserve">Support of social infrastructure. </t>
  </si>
  <si>
    <t xml:space="preserve">Effective communication, reflecting shared values and objectives. </t>
  </si>
  <si>
    <t xml:space="preserve">Contribute to open, transparent and fair governance systems. </t>
  </si>
  <si>
    <t xml:space="preserve">Minimise the negative social impacts of products and services (or maximise the positive…) </t>
  </si>
  <si>
    <t xml:space="preserve">Support the development of the local community (including economic opportunities). </t>
  </si>
  <si>
    <t>Natural Capital:</t>
  </si>
  <si>
    <r>
      <t>Natural resources (energy and matter) and processes including sinks</t>
    </r>
    <r>
      <rPr>
        <i/>
        <sz val="11.5"/>
        <color rgb="FF000000"/>
        <rFont val="Arial"/>
        <family val="2"/>
      </rPr>
      <t xml:space="preserve"> </t>
    </r>
    <r>
      <rPr>
        <sz val="11.5"/>
        <color rgb="FF000000"/>
        <rFont val="Arial"/>
        <family val="2"/>
      </rPr>
      <t xml:space="preserve">that absorb, neutralise or recycle wastes (e.g. forests, oceans); resources, some of which are renewable (timber, </t>
    </r>
  </si>
  <si>
    <t>grain, fish and water), whilst others are not (fossil fuels); and processes, such as climate regulation and the carbon cycle, that enable life to continue in a balanced way.</t>
  </si>
  <si>
    <t>Ensure that all mined materials are used efficiently .</t>
  </si>
  <si>
    <t>Systematically reduce dependence on fossil fuels and use renewable energy instead.</t>
  </si>
  <si>
    <t xml:space="preserve">Eliminate the accumulation of man-made substances and products in nature. </t>
  </si>
  <si>
    <t xml:space="preserve">Substitute persistent and unnatural compounds with substances that can be easily assimilated broken down by natural systems. </t>
  </si>
  <si>
    <t xml:space="preserve">Eliminate waste, re-use or recycle where possible. </t>
  </si>
  <si>
    <t xml:space="preserve">Use renewable resources only from well-managed eco-systems. </t>
  </si>
  <si>
    <t>Maintain and enhancing biodiversity and eco-system functions.</t>
  </si>
  <si>
    <t xml:space="preserve">Those assets of an organisation that exist in a form of currency that can be owned or traded, including (but not limited to) shares, bonds and banknotes. </t>
  </si>
  <si>
    <t>Financial capital (shares, bonds, notes and coin) reflects the productive power of the other types of capital.</t>
  </si>
  <si>
    <t xml:space="preserve">Value intangible assets such as brand and reputation. </t>
  </si>
  <si>
    <t xml:space="preserve">Honour relationships with suppliers and customers/citizens. </t>
  </si>
  <si>
    <t xml:space="preserve">Internalise environmental and social costs (eg greenhouse gas emissions) and assign an economic value to them. </t>
  </si>
  <si>
    <t>Effective management of financial risk.</t>
  </si>
  <si>
    <t>Produced capital eg machinery, buildings.</t>
  </si>
  <si>
    <t>Social capital eg networks, voluntary organisations.</t>
  </si>
  <si>
    <t>Natural capital eg waste assimilation by the environment, timber.</t>
  </si>
  <si>
    <t>Financial capital eg money, bonds.</t>
  </si>
  <si>
    <t>Category of capital:</t>
  </si>
  <si>
    <t>No. of 'active' adult visitors who undertake some or all of their exercise on the NNR.</t>
  </si>
  <si>
    <t>Shapwick Heath NNR</t>
  </si>
  <si>
    <t xml:space="preserve">How to complete: Click on the links below for each category of capital. </t>
  </si>
  <si>
    <t>In addition to what is listed below, organisations contribute to natural capital by maintaining and enhancing ecosystems.</t>
  </si>
  <si>
    <t>Ways of maintaining / enhancing produced capital</t>
  </si>
  <si>
    <t>Description of how the NNR maintains / enhances social capital</t>
  </si>
  <si>
    <t>Ways of maintaining / enhancing human capital</t>
  </si>
  <si>
    <t>Ways of maintaining / enhancing social capital</t>
  </si>
  <si>
    <t>Ways of maintaining / enhancing natural capital:</t>
  </si>
  <si>
    <t>Ways of maintaining / enhancing financial capital</t>
  </si>
  <si>
    <t>Description of how the NNR maintains / enhances human capital</t>
  </si>
  <si>
    <t>Description of how the NNR maintains / enhances produced capital</t>
  </si>
  <si>
    <t>Description of how the NNR maintains / enhances natural capital</t>
  </si>
  <si>
    <t>Description of how the NNR maintains / enhances financial capital</t>
  </si>
  <si>
    <t xml:space="preserve">Go to the next sheet. </t>
  </si>
  <si>
    <t>(The data below have been entered by the analyst)</t>
  </si>
  <si>
    <t>Health Benefits</t>
  </si>
  <si>
    <t>Capitals</t>
  </si>
  <si>
    <t>Estimation of health benefits</t>
  </si>
  <si>
    <t>Forum for the Future's Five Capitals Model URL: https://www.forumforthefuture.org/project/five-capitals/overview [Accessed 8.11.17].</t>
  </si>
  <si>
    <t>Human capital eg people's skills and experience.</t>
  </si>
  <si>
    <t>Return to Capitals</t>
  </si>
  <si>
    <t>Read on the ways that are listed. Then enter descriptions of how the NNR contributes to maintaining or enhancing that type of capital.</t>
  </si>
  <si>
    <t>Click here to see some examples.</t>
  </si>
  <si>
    <t>Shapwick has a spiritual side due to being so close to Glastonbury.</t>
  </si>
  <si>
    <t>The team have a good positive, mental and physical well-being.
Staff have hearing and hand arm vibration syndrome tests
The public aren't restricted onsite
The site provides an area for exercise.</t>
  </si>
  <si>
    <t>The site provides an area to improve both physical and mental health.</t>
  </si>
  <si>
    <t>We use FSC certified Timber
We sell our firewood in Hessian Sacks</t>
  </si>
  <si>
    <t>We use Facebook and Twitter, however we don't tend to share our values here
We give talks and hold educational visits</t>
  </si>
  <si>
    <t>Approximately 99% of tinder is used from well-managed ecosystems</t>
  </si>
  <si>
    <t>Recycled Plastic boardwalks
Scrap Metal recycled</t>
  </si>
  <si>
    <t>As an organisation we must do this.</t>
  </si>
  <si>
    <t xml:space="preserve">Shapwick offers a venue for activities. </t>
  </si>
  <si>
    <t>Keeping high water levels ensures that less carbon is released into the atmosphere from degrading peat.</t>
  </si>
  <si>
    <t>Sell firewood from the scrub we must clear from the reserve
Wood chip made from scrub we have cleared from the reserve is used to maintain footpaths.</t>
  </si>
  <si>
    <t>Onsite, we use materials that last along with recycled materials.</t>
  </si>
  <si>
    <t xml:space="preserve">Training staff and apprentices
We deliver Educational events for 0 - 90 year old with a number of events for different age groups
The bulk of our education is done in partnership with RSPB
Sell FSC guides </t>
  </si>
  <si>
    <t>We share knowledge on the issues we face in the countryside for example on pressures, climate change, diseases and opportunities of how to tackle issues.
We share knowledge with local landowners – for example advice on land or a project at no charge.</t>
  </si>
  <si>
    <t xml:space="preserve">Very diverse for working opportunities – in the office, out on the reserve and working with different organisations. </t>
  </si>
  <si>
    <t>Hectares</t>
  </si>
  <si>
    <t>Number of guides sold whole sale</t>
  </si>
  <si>
    <t>Number of guides sold retail</t>
  </si>
  <si>
    <t>The NNRs managed by Natural England are a demonstration of what Natural England can deliver.</t>
  </si>
  <si>
    <t>this is very important to the NNR.</t>
  </si>
  <si>
    <t xml:space="preserve">The new office block will have solar panels </t>
  </si>
  <si>
    <t>A new sewerage system which will feed back into the ditch network – less water is taken off-site.  
New office will be solar powered. 
New education facility - bring in more money through educational visits.</t>
  </si>
  <si>
    <t>If in good condition the reserve is doing well.</t>
  </si>
  <si>
    <t>Habitats being maintained if have a good populations of Bittern</t>
  </si>
  <si>
    <t>Yes / No</t>
  </si>
  <si>
    <t xml:space="preserve">Do we still have high visitor numbers? </t>
  </si>
  <si>
    <t>Is there Sphagnum growth?</t>
  </si>
  <si>
    <t>Are mires on the reserve functioning?</t>
  </si>
  <si>
    <t>People Counters</t>
  </si>
  <si>
    <t>Surveying</t>
  </si>
  <si>
    <t>Bittern Surveying</t>
  </si>
  <si>
    <t>NNR Staff Records</t>
  </si>
  <si>
    <t xml:space="preserve">Electricity bill may change once the new office is built in 2018. </t>
  </si>
  <si>
    <t>Natural England Only</t>
  </si>
  <si>
    <t>500 hectares</t>
  </si>
  <si>
    <t xml:space="preserve">No. of deer shot a year </t>
  </si>
  <si>
    <t>increase in sales over 2017 - 2015</t>
  </si>
  <si>
    <t>9 to 15</t>
  </si>
  <si>
    <t>No. of deer shot a year</t>
  </si>
  <si>
    <r>
      <t>No. of loose loads sold (approx. 1.2m</t>
    </r>
    <r>
      <rPr>
        <sz val="11"/>
        <color theme="1"/>
        <rFont val="Calibri"/>
        <family val="2"/>
      </rPr>
      <t>³)  (Apr 2016 -17)</t>
    </r>
  </si>
  <si>
    <t>No. of loose loads (approx 0.6m³)  (Apr 2016 -17)</t>
  </si>
  <si>
    <t>No. of loose loads (approx 0.4m³)  (Apr 2016 -17)</t>
  </si>
  <si>
    <t xml:space="preserve">No. of loose loads (approx 0.3m³) (Apr 2016 -17) </t>
  </si>
  <si>
    <t>We recycle office waste
Re-use our waste products from the reserve through our the sale of our firewood and the use of woodchip for footpaths.
We don't use chemicals onsite.
New office will have solar panels.</t>
  </si>
  <si>
    <t>Woodchip on footpaths
Biodegradable chainsaw oil
Built a new biofuel barn - Recycle reed waste for Anaerobic Digesters.</t>
  </si>
  <si>
    <t>No. of bags sold wholesale (approx. 0.05m³) (Apr 2016 -17)</t>
  </si>
  <si>
    <t>No. of bags sold retail (approx 0.05m³)  (other stores Apr 2016 -17)</t>
  </si>
  <si>
    <t>Firewood (bags retail- Earthfare) £3.50 per bag</t>
  </si>
  <si>
    <t>Firewood (bags, retail - other stores) £3.75 per bag</t>
  </si>
  <si>
    <t>Firewood (wholesale bags) £5 per bag</t>
  </si>
  <si>
    <t>Firewood (1 whole loose loads) £100 per load</t>
  </si>
  <si>
    <t>Firewood (half a loose load) £50 per load</t>
  </si>
  <si>
    <t>Firewood (1/3 of a loose load) £40 per load</t>
  </si>
  <si>
    <t>Firewood (1/4 of a loose load) £25 per load</t>
  </si>
  <si>
    <t>Number of Booming Males</t>
  </si>
  <si>
    <t>Habitat is being maintained if we have a good numbers of wintering birds.</t>
  </si>
  <si>
    <t>Management Plans (2015)</t>
  </si>
  <si>
    <t>Value of a QALY (£)</t>
  </si>
  <si>
    <t>HEAT can be used to assess the health benefits that arise from each walk taken in the NNR.  This is because it assumes that each increase in physical activity is associated with  additional health benefits.</t>
  </si>
  <si>
    <t>However, it is necessary to know the number of adults visiting the NNR, the number of visits they make per year, and the distance they walk or the time they spend walking.</t>
  </si>
  <si>
    <t>Percentage of visits to the natural environment that involve walking</t>
  </si>
  <si>
    <t>http://www.heatwalkingcycling.org/#homepage</t>
  </si>
  <si>
    <t>Average number of adult visitors per year who walk</t>
  </si>
  <si>
    <t>To estimate total number of visits, people making 5 or more visits per week are assumed to make 5 visits.</t>
  </si>
  <si>
    <t>Source: derived using data from White and others (2016)</t>
  </si>
  <si>
    <t xml:space="preserve">The above figure is based on the assumption that 30 mins of moderate to intense physical activity each week for 52 weeks of a year  </t>
  </si>
  <si>
    <t xml:space="preserve"> is associated with 0.010677 Quality Adjusted Life Years (QALYs) and that the relationship is cumulative and linear (Beale and others 2007 in White and others 2016).</t>
  </si>
  <si>
    <t>Note: 'active' adults report that they undertake exercise for 30 minutes or more 5 or more times per week</t>
  </si>
  <si>
    <t>No. of 'active' adult visitors who would not have undertaken the exercise if they could not visit the NNR</t>
  </si>
  <si>
    <t xml:space="preserve">Note that an 'active' adult visitor is an adult recreational visitor who undertakes 30 minutes or more exercise 5 days or more per week. </t>
  </si>
  <si>
    <t>Number of QALYs associated with each 'active' visit</t>
  </si>
  <si>
    <t>Estimated no. of 'active' visits by 'active' visitors per year supported by the NNR</t>
  </si>
  <si>
    <t xml:space="preserve">This is more appropriate to use for UK applications than the default value employed in HEAT (which is estimated from an international review of studies (World Health Organisation, 2017)). </t>
  </si>
  <si>
    <t>Value of a life at 2016-17 prices (adjusted using HM Treasury GDP deflator (2018))</t>
  </si>
  <si>
    <t>Note that the walk does not need to be for 30 minutes or make them out of breath.</t>
  </si>
  <si>
    <t>or average distance walked per day (kilometres)</t>
  </si>
  <si>
    <t>or average amount of time spent walking per day (minutes)</t>
  </si>
  <si>
    <t>Average distance the above visitors walk per visit (miles)</t>
  </si>
  <si>
    <t>or average distance the above visitors walk per visit (kilometres)</t>
  </si>
  <si>
    <t>or average amount of time the above visitors spend walking per visit (minutes)</t>
  </si>
  <si>
    <t>Please enter estimates of the following for the NNR, based on site staff knowledge or survey data.</t>
  </si>
  <si>
    <t>2. Health benefits for all adults who go for a walk</t>
  </si>
  <si>
    <t>Number of recreational visits by adults to the site last year</t>
  </si>
  <si>
    <t>Number of 'active' visits by 'active' adult visitors</t>
  </si>
  <si>
    <t>This gain is a measure of the increase in the quantity and quality of people's lives due to exercise.</t>
  </si>
  <si>
    <t>Calculated as number of QALYs per active visit multiplied by the value of a QALY</t>
  </si>
  <si>
    <t>Value of health gain for each 'active' visit (£)</t>
  </si>
  <si>
    <r>
      <rPr>
        <b/>
        <sz val="12"/>
        <color theme="1"/>
        <rFont val="Arial"/>
        <family val="2"/>
      </rPr>
      <t>One</t>
    </r>
    <r>
      <rPr>
        <sz val="12"/>
        <color theme="1"/>
        <rFont val="Arial"/>
        <family val="2"/>
      </rPr>
      <t xml:space="preserve"> of the following (whichever was entered in the 'Values' sheet). Note that the figures will be low because average is calculated over a year.</t>
    </r>
  </si>
  <si>
    <t>Return to Health Benefits</t>
  </si>
  <si>
    <t>This is the monetary value of the above.  These visits would not take place in the absence of the NNR.</t>
  </si>
  <si>
    <t>Percentage of adult visitors who go for a walk on NNR but would not walk if the NNR not available</t>
  </si>
  <si>
    <t>Average number of adult visitors per year</t>
  </si>
  <si>
    <t xml:space="preserve">Record here the results calculated by HEAT: </t>
  </si>
  <si>
    <t>Average no. adult visitors per year who walk but would not walk in absence of the NNR</t>
  </si>
  <si>
    <t>This benefit is provided by the NNR</t>
  </si>
  <si>
    <t>Calculations:</t>
  </si>
  <si>
    <t>Results:</t>
  </si>
  <si>
    <t>Total health gain (QALYs)</t>
  </si>
  <si>
    <t>Economic value of the health benefits (£/yr)</t>
  </si>
  <si>
    <t>This is the economic value of the above.</t>
  </si>
  <si>
    <t>Most of the exercise providing this benefit would occur in the absence of the NNR.</t>
  </si>
  <si>
    <t xml:space="preserve">References: </t>
  </si>
  <si>
    <t xml:space="preserve">Average distance walked or time spent walking: use data above for walking visits supported by the NNR. </t>
  </si>
  <si>
    <t>Percentage of 'active' adult visitors who would not have undertaken the exercise if they could not visit the NNR</t>
  </si>
  <si>
    <t>Note: an estimate is provided here only if percentage of 'active' adult visitors who would not have undertaken the exercise if they could not visit the NNR has been entered in the 'Values' sheet.</t>
  </si>
  <si>
    <t>Number (No.) of recreational visits per year</t>
  </si>
  <si>
    <t xml:space="preserve">Calculated using data above. </t>
  </si>
  <si>
    <t>Data from other sources that are employed if the analysis if NNR-specific data (entered in the 'Values' sheet) are not available:</t>
  </si>
  <si>
    <t xml:space="preserve">Note: </t>
  </si>
  <si>
    <t>Use of the above results should be accompanied by the following assumption if data are not entered in both cells F24 and F25 in the 'Values' sheet:</t>
  </si>
  <si>
    <t>The above economic value should not be added to recreational values. This is because it is based on estimates of people's willingness to pay .</t>
  </si>
  <si>
    <t>'Active' visits is used here to describe visits that involve raising the person's breathing rate for 30 minutes or more.</t>
  </si>
  <si>
    <t>Section 1: Please enter the following data if they are available, to improve the accuracy of estimates:</t>
  </si>
  <si>
    <t>Section 2: Additional useful information that could be collected through a survey:</t>
  </si>
  <si>
    <r>
      <t xml:space="preserve">Department for Transport. 2018. </t>
    </r>
    <r>
      <rPr>
        <i/>
        <sz val="12"/>
        <color theme="1"/>
        <rFont val="Arial"/>
        <family val="2"/>
      </rPr>
      <t>WebTAG data book</t>
    </r>
  </si>
  <si>
    <r>
      <t xml:space="preserve">HM Treasury. 2018. </t>
    </r>
    <r>
      <rPr>
        <i/>
        <sz val="12"/>
        <color theme="1"/>
        <rFont val="Arial"/>
        <family val="2"/>
      </rPr>
      <t>The Green Book. Central government guidance on appraisal and evaluation.</t>
    </r>
  </si>
  <si>
    <t>Insert the data below into the World Health Organisations Health Economic Assessment Tool (HEAT):</t>
  </si>
  <si>
    <t>Table 2. Inputs to estimating the health benefits for all adults who walk</t>
  </si>
  <si>
    <t xml:space="preserve">Section 3: </t>
  </si>
  <si>
    <t>Section 4: Additional useful information that could be collected through a survey:</t>
  </si>
  <si>
    <t>Percentage of adult visitors who go for a walk on the NNR (estimate if possible, not essential)</t>
  </si>
  <si>
    <t>Average number of visits an adult makes per year to the NNR (essential)</t>
  </si>
  <si>
    <r>
      <rPr>
        <b/>
        <sz val="12"/>
        <color theme="1"/>
        <rFont val="Arial"/>
        <family val="2"/>
      </rPr>
      <t>One</t>
    </r>
    <r>
      <rPr>
        <sz val="12"/>
        <color theme="1"/>
        <rFont val="Arial"/>
        <family val="2"/>
      </rPr>
      <t xml:space="preserve"> of the following, whichever is easiest (essential):</t>
    </r>
  </si>
  <si>
    <t>was not available.</t>
  </si>
  <si>
    <t>Use of the above results should be accompanied by the following assumption:</t>
  </si>
  <si>
    <t>Assumes that 'active' visitors whose 'active' visits are reliant on the NNR exercise on the NNR at the same frequency as all 'active' visitors.</t>
  </si>
  <si>
    <t>It should be accompanied by the following assumption if data are not entered in both rows Section 1 of Table 1 in the 'Values' sheet.</t>
  </si>
  <si>
    <t>It should be accompanied by the following assumption if data not entered in Section 2 of Table 1 in the 'Values' sheet.</t>
  </si>
  <si>
    <t>Note that the above value should not be added to recreational values. This is because it is based on estimates of people's willingness to pay (for a prevented fatality).</t>
  </si>
  <si>
    <t>It should be accompanied by the following assumption if data not entered in Section 4 of Table 2 in the 'Values' sheet.</t>
  </si>
  <si>
    <t>Section 3 of Table 2 in the 'Values' sheet needs to be completed for data to appear in the cells below. If those data cannot be estimated, it is not possible to estimate the health benefits using HEAT.</t>
  </si>
  <si>
    <t>Estimate A and B separately.</t>
  </si>
  <si>
    <r>
      <t xml:space="preserve">A. For walking visits supported by the NNR, </t>
    </r>
    <r>
      <rPr>
        <b/>
        <sz val="12"/>
        <color rgb="FFFF0000"/>
        <rFont val="Arial"/>
        <family val="2"/>
      </rPr>
      <t>most of which would occur in the absence of the NNR</t>
    </r>
    <r>
      <rPr>
        <b/>
        <sz val="12"/>
        <color theme="1"/>
        <rFont val="Arial"/>
        <family val="2"/>
      </rPr>
      <t>:</t>
    </r>
  </si>
  <si>
    <r>
      <t xml:space="preserve">B. For 'active' adults making 'active' visits </t>
    </r>
    <r>
      <rPr>
        <b/>
        <sz val="12"/>
        <color rgb="FFFF0000"/>
        <rFont val="Arial"/>
        <family val="2"/>
      </rPr>
      <t xml:space="preserve">reliant </t>
    </r>
    <r>
      <rPr>
        <b/>
        <sz val="12"/>
        <color theme="1"/>
        <rFont val="Arial"/>
        <family val="2"/>
      </rPr>
      <t>on the NNR (the visits would not take place in the absence of the NNR):</t>
    </r>
  </si>
  <si>
    <t>The number of premature deaths prevented per year</t>
  </si>
  <si>
    <t>The total economic value (£/yr)</t>
  </si>
  <si>
    <t>The total economic  value (£/yr)</t>
  </si>
  <si>
    <t xml:space="preserve">Two different methods are used: health benefits for 'active' adults who exercise on the NNR, and health benefits for all adults who go for a walk on the NNR. </t>
  </si>
  <si>
    <t>How to complete HEAT (which includes details of data to use) - select here</t>
  </si>
  <si>
    <t xml:space="preserve">To estimate the health benefits of adults' recreational visits to the NNR. </t>
  </si>
  <si>
    <t>People aged over 16 are assumed to be adults for the purpose of this analysis (this is the definition of an adult employed by Natural England's Monitor of the Engagement with the Natural Environment (MENE) survey (2017)).</t>
  </si>
  <si>
    <r>
      <rPr>
        <i/>
        <sz val="12"/>
        <color theme="1"/>
        <rFont val="Arial"/>
        <family val="2"/>
      </rPr>
      <t>Assumes that 15% of visits is by adults who report undertaking 30 mins or more exercise 5 days or more per week ('active visitors') &amp; undertake some exercise in the natural environment (Source: data from White and others (2016), based on data for visits in the natural environment in England from Natural England's Monitor of Engagement with the Natural Environment (MENE)).</t>
    </r>
    <r>
      <rPr>
        <sz val="12"/>
        <color theme="1"/>
        <rFont val="Arial"/>
        <family val="2"/>
      </rPr>
      <t xml:space="preserve"> </t>
    </r>
  </si>
  <si>
    <t>Source: analysis of data from MENE (for March 2015 to Feb 2016 (Natural England 2017))</t>
  </si>
  <si>
    <t>Assumes that 77% of adult visits involve walking based on data on visits to the natural environment in England collected by MENE (Natural England, 2017).</t>
  </si>
  <si>
    <r>
      <t xml:space="preserve">Natural England. 2017. </t>
    </r>
    <r>
      <rPr>
        <i/>
        <sz val="12"/>
        <color theme="1"/>
        <rFont val="Arial"/>
        <family val="2"/>
      </rPr>
      <t>Monitor for Engagement in the Natural Environment (MENE). Headline Report for the 2015-16 survey</t>
    </r>
    <r>
      <rPr>
        <sz val="12"/>
        <color theme="1"/>
        <rFont val="Arial"/>
        <family val="2"/>
      </rPr>
      <t>.</t>
    </r>
  </si>
  <si>
    <r>
      <t xml:space="preserve">B. For walking visits </t>
    </r>
    <r>
      <rPr>
        <b/>
        <sz val="12"/>
        <color rgb="FFFF0000"/>
        <rFont val="Arial"/>
        <family val="2"/>
      </rPr>
      <t>reliant</t>
    </r>
    <r>
      <rPr>
        <b/>
        <sz val="12"/>
        <color theme="1"/>
        <rFont val="Arial"/>
        <family val="2"/>
      </rPr>
      <t xml:space="preserve"> on the NNR (that would not take place in the absence of the NNR):</t>
    </r>
  </si>
  <si>
    <t xml:space="preserve">The World Health Organisation's Health Economic Assessment Tool (HEAT) estimates the health benefits of walking in terms of the reduction in the death rate, which is valued in terms of the value of a statistical life. </t>
  </si>
  <si>
    <t xml:space="preserve">The number of premature deaths prevented is estimated using the World Health Organisation's Health Economic Assessment Tool (HEAT). </t>
  </si>
  <si>
    <t>Preventing the extraction of peat or  ploughing.</t>
  </si>
  <si>
    <t>Sale of firewood, could be developed (biofuels)</t>
  </si>
  <si>
    <t xml:space="preserve">In new areas that we don’t currently own, we could create angling areas and charge for a licence. </t>
  </si>
  <si>
    <t xml:space="preserve">Some deer sales via stalker, approximately 9 - 15 a year. Beneficial to neighbouring farms - potential to sell more. No wildfowling at Shapwick. </t>
  </si>
  <si>
    <t xml:space="preserve">Potentially increase if we get a new education centre </t>
  </si>
  <si>
    <t>Is the reserve still grazed by traditional livestock?</t>
  </si>
  <si>
    <t>https://www.leep.exeter.ac.uk/orval/</t>
  </si>
  <si>
    <t>It is assumed here that NNR data provides a more reliable estimate of the number of visits to the NNR than ORVal. However, NNR data are not available for the value per visit.</t>
  </si>
  <si>
    <t xml:space="preserve">Sen, A., Harwood, A.R., Bateman, I.J., Munday, P., Crowe, A., Brander, L., Raychaudhuri, J., Lovett, A.A., Foden, J., &amp; Provins, A. 2014. Economic assessment of the recreational value of ecosystems: </t>
  </si>
  <si>
    <t>ORVal:</t>
  </si>
  <si>
    <t xml:space="preserve">Sources: </t>
  </si>
  <si>
    <r>
      <t xml:space="preserve">methodological development and national and local application. </t>
    </r>
    <r>
      <rPr>
        <i/>
        <sz val="12"/>
        <color theme="1"/>
        <rFont val="Arial"/>
        <family val="2"/>
      </rPr>
      <t>Environmental and Resource Economics</t>
    </r>
    <r>
      <rPr>
        <sz val="12"/>
        <color theme="1"/>
        <rFont val="Arial"/>
        <family val="2"/>
      </rPr>
      <t xml:space="preserve"> 57 233-249</t>
    </r>
  </si>
  <si>
    <t xml:space="preserve">Note that these prices may be underestimates because providers may subsidise their charges for educational visits (to contribute to achieving aims of public engagement) and </t>
  </si>
  <si>
    <t xml:space="preserve">the market may not be competitive (not least because no price is charged by some sites offering educational visits). </t>
  </si>
  <si>
    <t>Source:</t>
  </si>
  <si>
    <t>BEIS (2017) Data tables 1 to 19: supporting the toolkit and the guidance. Table 3</t>
  </si>
  <si>
    <t xml:space="preserve">BEIS (2017) </t>
  </si>
  <si>
    <t>Sources:</t>
  </si>
  <si>
    <t>In some instances, the latter might make a greater contribution to the economy than the  NNR.</t>
  </si>
  <si>
    <t>ONS (2017)</t>
  </si>
  <si>
    <t>Source</t>
  </si>
  <si>
    <t>The contribution that the NNR makes to the economy is assessed in terms of its contribution to employment (measured in terms of the number of full time equivalents (FTEs))</t>
  </si>
  <si>
    <t>Notes:</t>
  </si>
  <si>
    <t>end of row and over-write estimates for future years.</t>
  </si>
  <si>
    <r>
      <t>Will it continue at approx. this annual level for 20 years with pursuit of the goal?</t>
    </r>
    <r>
      <rPr>
        <sz val="11"/>
        <color theme="1"/>
        <rFont val="Arial"/>
        <family val="2"/>
      </rPr>
      <t xml:space="preserve"> If so, enter Yes from list. If not, enter No, click on link at </t>
    </r>
  </si>
  <si>
    <r>
      <t xml:space="preserve">Will it continue at approx. this annual level for 20 years with pursuit of the goal? </t>
    </r>
    <r>
      <rPr>
        <sz val="11"/>
        <color theme="1"/>
        <rFont val="Arial"/>
        <family val="2"/>
      </rPr>
      <t xml:space="preserve">If so, enter Yes from list. If not, enter No, click on link at </t>
    </r>
  </si>
  <si>
    <t>Other businesses on the NNR:</t>
  </si>
  <si>
    <t>Shop or other retail outlet</t>
  </si>
  <si>
    <t>Café or other food / drink outlet</t>
  </si>
  <si>
    <t>Tenant graziers (combined for all)</t>
  </si>
  <si>
    <t>Tenant arable farmers (for all)</t>
  </si>
  <si>
    <t>Shoots (combined for all)</t>
  </si>
  <si>
    <t>Information used to assess impacts on the local &amp; regional economy</t>
  </si>
  <si>
    <t>Other (enter details here)</t>
  </si>
  <si>
    <t>For capital items:</t>
  </si>
  <si>
    <t>Also, enter the following estimates here:</t>
  </si>
  <si>
    <t xml:space="preserve">Enter all monetary costs as negative numbers (they will appear in brackets). </t>
  </si>
  <si>
    <t>Enter amounts of time input by staff and volunteers as positive numbers (without a minus sign).</t>
  </si>
  <si>
    <t>within 10 miles</t>
  </si>
  <si>
    <t>within 30 miles</t>
  </si>
  <si>
    <t>GVA at basic prices (£m)</t>
  </si>
  <si>
    <t>Total output at basic prices (£m)</t>
  </si>
  <si>
    <t>All industries</t>
  </si>
  <si>
    <t>Published data:</t>
  </si>
  <si>
    <t>Retail sale of cultural and recreation goods  (SIC G 47.6)</t>
  </si>
  <si>
    <t>Food &amp; beverage service activities (SIC I 56)</t>
  </si>
  <si>
    <t>Jobs ('000s)</t>
  </si>
  <si>
    <t>ONS (2018b)</t>
  </si>
  <si>
    <t>`</t>
  </si>
  <si>
    <t>Adjusted for inflation (see Note i):</t>
  </si>
  <si>
    <t xml:space="preserve">(i) Factor used to adjust 2015 figures for inflation: </t>
  </si>
  <si>
    <t xml:space="preserve">Year </t>
  </si>
  <si>
    <t>(iii) see ICF GHK (2013) P8 &amp; 13 and Molloy et al (2011) P26</t>
  </si>
  <si>
    <t>(iv) see ICF GHK (2013) P16 (requires estimate from NNR).</t>
  </si>
  <si>
    <t>Café</t>
  </si>
  <si>
    <t>Art &amp; craft shop</t>
  </si>
  <si>
    <t>Assumptions / notes</t>
  </si>
  <si>
    <t>Input contributed by 10 people</t>
  </si>
  <si>
    <t>NNR team</t>
  </si>
  <si>
    <t>Input contributed by 2 people</t>
  </si>
  <si>
    <t>Source: HM Treasury (2018). No adjustment made to 2016 figures, as they are used here as figures for 2017.</t>
  </si>
  <si>
    <t xml:space="preserve">(ii) Based on an average of 32.1 hours worked per week by all workers in 2015 (Source ONS (2018a)), assuming 1 FTE works 40 hours per week), 1 job = </t>
  </si>
  <si>
    <t>Expenditure by the NNR:</t>
  </si>
  <si>
    <t>Employment  supported (FTE)</t>
  </si>
  <si>
    <t>Output (£) per FTE job</t>
  </si>
  <si>
    <t>GVA (£) per FTE job</t>
  </si>
  <si>
    <t>GVA per £1 of output (£)</t>
  </si>
  <si>
    <t>Published national data used for the calculations:</t>
  </si>
  <si>
    <t>Notes for table above:</t>
  </si>
  <si>
    <t>4. For direct employment by the NNR, GVA is assumed to be equal to full salary costs.</t>
  </si>
  <si>
    <t>Employment by the NNR (full salary costs) (see Note 4)</t>
  </si>
  <si>
    <t>Expenditure by the NNR (see Note 5):</t>
  </si>
  <si>
    <t>Other costs not in CMSi paid by NE (leases, fleet, utilities &amp; rates)(£ / yr) (see Note 6)</t>
  </si>
  <si>
    <t>Businesses other than the NNR on the site (see Note 7):</t>
  </si>
  <si>
    <t>Calculation of NNR's contribution to the local and regional economy:</t>
  </si>
  <si>
    <t>Direct contribution from:</t>
  </si>
  <si>
    <t>Sectors:</t>
  </si>
  <si>
    <t>Source: consistent with ICF GHK (2013)</t>
  </si>
  <si>
    <t>Source: consistent with the advice in AECOM (2016)</t>
  </si>
  <si>
    <t xml:space="preserve">The contribution is assessed separately for the local economy (area within 10 miles of the NNR) and the regional economy (area within 30 miles) (see Note1). </t>
  </si>
  <si>
    <t>Results summary</t>
  </si>
  <si>
    <t>Total from the NNR</t>
  </si>
  <si>
    <t>NNR</t>
  </si>
  <si>
    <t>Other businesses on the site</t>
  </si>
  <si>
    <t>Direct plus indirect and induced contribution from:</t>
  </si>
  <si>
    <t>Total</t>
  </si>
  <si>
    <t>The estimates of direct, plus indirect and induced contribution have a lower level of accuracy because they are calculated using rough estimates of multipliers</t>
  </si>
  <si>
    <t>Direct, indirect and induced contribution (see Note 8) from:</t>
  </si>
  <si>
    <t>Employment by the NNR (full salary costs)</t>
  </si>
  <si>
    <t>Businesses other than the NNR on the site:</t>
  </si>
  <si>
    <t>Data from ICF GHK (2013) that is used in absence of data on the NNR (see Note 9):</t>
  </si>
  <si>
    <t xml:space="preserve">9. ICF GHK (2013) estimates that 79% of visits are by locals, based on an estimate by Natural England of 4.3 million visits to125 NNRs managed by Natural England in 2006/7 and </t>
  </si>
  <si>
    <t>three visits per year (based on NNR staff advice that locals account for a larger proportion of total visits than non-locals).</t>
  </si>
  <si>
    <t xml:space="preserve">data from a 2005 NNR visitor satisfaction survey that suggest that 55% of visitors to the NNRs travel 10 miles or less, and an assumption that locals make </t>
  </si>
  <si>
    <t xml:space="preserve">The report estimates that 21% of visits are by non-locals based on the same estimate of total number of visits, an assumption based on the survey data that 45% of visitors live more than </t>
  </si>
  <si>
    <t>10 miles from the NNR, and an assumption that non-locals visit once a year.</t>
  </si>
  <si>
    <t>On the basis that NNR staff suggested that non-local visitors are more likely to be day trippers than overnight visitors compared with RSPB reserves (survey data for RSPB reserves in 2009</t>
  </si>
  <si>
    <t>% of visits</t>
  </si>
  <si>
    <t xml:space="preserve"> in 2009</t>
  </si>
  <si>
    <t>Day visits by people not living within 10 miles (day visitors)</t>
  </si>
  <si>
    <t>Notes for this table:</t>
  </si>
  <si>
    <t>People not living within 10 miles who stay overnight (overnight visitors)</t>
  </si>
  <si>
    <t xml:space="preserve">Source: HM Treasury (2018). </t>
  </si>
  <si>
    <t>in 2017 (Note ii)</t>
  </si>
  <si>
    <t xml:space="preserve">Molloy, D, Thomas, S., Morling, P. (2011) RSPB reserves and local economies. </t>
  </si>
  <si>
    <t xml:space="preserve">indicated that the numbers of each were similar (Molloy and others 2011)), the report estimates that 14% of visits are by non-local day trippers and 7% of visits are made by non-locals who stay overnight. </t>
  </si>
  <si>
    <t xml:space="preserve">% of visitors reporting that NNR was the </t>
  </si>
  <si>
    <t>main reason</t>
  </si>
  <si>
    <t>not the reason</t>
  </si>
  <si>
    <t>Extent to which the NNR motivated visit</t>
  </si>
  <si>
    <t>Expenditure by visitors:</t>
  </si>
  <si>
    <t>Source, assumptions and notes</t>
  </si>
  <si>
    <t>one of reasons</t>
  </si>
  <si>
    <t>Assumes all day visitors make the same number of visits per year, regardless of their motivation for the visit. Assumes the same for overnight visitors.</t>
  </si>
  <si>
    <t>All of the white cells need to be completed for the data to be used in the calculations. The data can be rough estimates. If they are not completed, the workbook will employ rough estimates for all NNRs.</t>
  </si>
  <si>
    <t xml:space="preserve">Expenditure </t>
  </si>
  <si>
    <t>Total local visitor</t>
  </si>
  <si>
    <t>Weightings applied for motivations for visit.</t>
  </si>
  <si>
    <t xml:space="preserve"> expenditure attributed</t>
  </si>
  <si>
    <t xml:space="preserve"> to NNR (£/yr)</t>
  </si>
  <si>
    <t xml:space="preserve"> attributed to</t>
  </si>
  <si>
    <t>NNR (£/visit)</t>
  </si>
  <si>
    <t>Calculation of contribution of visitor expenditure to the local economy:</t>
  </si>
  <si>
    <t>Local spend attributed to NNR (£/day) (Note i)</t>
  </si>
  <si>
    <t xml:space="preserve">by all types of visitors was on travel). Source of data: Molloy and others (2011) from a survey of visitors to nature reserves managed by RSPB. The study used </t>
  </si>
  <si>
    <t>data on whether the reserve motivated the visit to estimate visitors' spend attributed to the NNR.  Use of these data is consistent with ICF GHK (2013).</t>
  </si>
  <si>
    <t xml:space="preserve">It is assumed that 90% of visitor expenditure is made in the local economy. This is consistent with Molloy and others  (2011) and ICF GHK (2013). </t>
  </si>
  <si>
    <t>In 2013</t>
  </si>
  <si>
    <t>GVA in local economy supported per £1 of visitor expenditure (£)</t>
  </si>
  <si>
    <t>The figures include indirect and induced multiplier effects.</t>
  </si>
  <si>
    <t>In 2017 (Note ii)</t>
  </si>
  <si>
    <t>Source: HM Treasury (2018).</t>
  </si>
  <si>
    <t xml:space="preserve">(ii) Factor used to adjust 2013 figures for inflation: </t>
  </si>
  <si>
    <t>Notes for the above table:</t>
  </si>
  <si>
    <t>(Note that if this was to be applied to more NNRs, it would benefit from  use of updated figures for the above (that include indirect and induced effects)).</t>
  </si>
  <si>
    <t>Visitor expenditure per FTE employed in the local economy (£)</t>
  </si>
  <si>
    <t>See Note ii</t>
  </si>
  <si>
    <t>Tenant graziers (see Note iii below)</t>
  </si>
  <si>
    <t>Shoots (see Note iv below)</t>
  </si>
  <si>
    <t>Contribution of visitor expenditure to the local economy:</t>
  </si>
  <si>
    <t>(£/yr)</t>
  </si>
  <si>
    <t>supported</t>
  </si>
  <si>
    <t>Employment</t>
  </si>
  <si>
    <t>(FTE)</t>
  </si>
  <si>
    <t>Direct plus indirect and induced effects</t>
  </si>
  <si>
    <t>Visitor expenditure</t>
  </si>
  <si>
    <t>It is assumed that 90% of visitor expenditure is in the local economy (within 10 miles of the NNR). Further details of this assumption are provided in sections below.</t>
  </si>
  <si>
    <t xml:space="preserve">% of </t>
  </si>
  <si>
    <t>total visits</t>
  </si>
  <si>
    <t>Average amount spent during their visit</t>
  </si>
  <si>
    <t>in total</t>
  </si>
  <si>
    <t>(£/day)</t>
  </si>
  <si>
    <t>within 10 miles of NNR</t>
  </si>
  <si>
    <t>Average no. of times the above 'active' visitors undertook exercise on the NNR in the past 7 days.</t>
  </si>
  <si>
    <t>Staff estimate</t>
  </si>
  <si>
    <t>Are shallow lakes in favourable condition?</t>
  </si>
  <si>
    <t>Are S4 Phragmites reedbeds, S24 Phragmites-Peucedanum tall-herb fen, s26 habitats in favourable condition?</t>
  </si>
  <si>
    <t>Are M22 Juncus–Cirsium fen meadow, M24 Molinia-Cirsium fen meadow habitats in favourable condition?</t>
  </si>
  <si>
    <t>Are wet woodland W2 Salix-Betula-Phragmites woodland / W5 Alnus-Carex paniculata woodland, W1, W4, W5, W6 habitats in favourable condition?</t>
  </si>
  <si>
    <t>Is dry woodland W10 habitat in favourable condition?</t>
  </si>
  <si>
    <t>Are wet heath m15, m16 habitats in favourable condition?</t>
  </si>
  <si>
    <t>Net carbon flux estimates</t>
  </si>
  <si>
    <t>Area of habitat</t>
  </si>
  <si>
    <t>in 2017 (ha)</t>
  </si>
  <si>
    <t>Shallow lakes (mesotrophic)</t>
  </si>
  <si>
    <t xml:space="preserve">Note:  negative net carbon flux indicates that the habitat provides net sequestration of carbon. </t>
  </si>
  <si>
    <t>Positive net carbon flux indicates that the habitat is a net emitter of carbon dioxide and/or methane.</t>
  </si>
  <si>
    <t>The total estimate is partial because data are not available for wet woodland, which covers a significant area of the NNR.</t>
  </si>
  <si>
    <t>Vegetation community</t>
  </si>
  <si>
    <t>data not available</t>
  </si>
  <si>
    <t>RSPB (2017)</t>
  </si>
  <si>
    <t>Wilson and others (2016)</t>
  </si>
  <si>
    <t>Beier and others (2009)</t>
  </si>
  <si>
    <t>Tussocky wet MG9</t>
  </si>
  <si>
    <t>Janssen and others cited in NEA</t>
  </si>
  <si>
    <r>
      <t xml:space="preserve">RSPB. 2017. </t>
    </r>
    <r>
      <rPr>
        <i/>
        <sz val="12"/>
        <color theme="1"/>
        <rFont val="Arial"/>
        <family val="2"/>
      </rPr>
      <t>Annexes to Accounting for Nature: A Natural Capital Account for the RSPB’s estate in England. https://www.rspb.org.uk/globalassets/downloads/documents/positions/economics/annexes-to-accounting-for-nature---a-natural-capital-account-for-the-rspbs-estate-in-england.pdf</t>
    </r>
  </si>
  <si>
    <r>
      <t xml:space="preserve">Evans and others. 2016. Interim report on project SP1210: </t>
    </r>
    <r>
      <rPr>
        <i/>
        <sz val="11"/>
        <color theme="1"/>
        <rFont val="Arial"/>
        <family val="2"/>
      </rPr>
      <t>Lowland peatland systems in England and Wales – evaluating greenhouse gas fluxes and carbon balances</t>
    </r>
    <r>
      <rPr>
        <sz val="11"/>
        <color theme="1"/>
        <rFont val="Arial"/>
        <family val="2"/>
      </rPr>
      <t>. Unpublished report for Defra.</t>
    </r>
  </si>
  <si>
    <r>
      <t xml:space="preserve">Janssens, I.A., Freibauer, A., Schlamadinger, B., Ceulemans, R., Ciais, P., Dolman, A.J., Heimann, M., Nabuurs, G.J., Smith, P., Valentini, R. &amp; Schulze, E.D. (2005) The carbon budget of terrestrial ecosystems at country-scale – a European case study. </t>
    </r>
    <r>
      <rPr>
        <i/>
        <sz val="11"/>
        <color theme="1"/>
        <rFont val="Arial"/>
        <family val="2"/>
      </rPr>
      <t>Biogeosciences</t>
    </r>
    <r>
      <rPr>
        <sz val="11"/>
        <color theme="1"/>
        <rFont val="Arial"/>
        <family val="2"/>
      </rPr>
      <t xml:space="preserve"> 2, 15–26. Cited in Bullock, J.M. and others (2011) Semi-natural grasslands, Chapter 6 in Bateman and others National Ecosystem Assessment. </t>
    </r>
  </si>
  <si>
    <r>
      <t xml:space="preserve">Wilson, D., Blain, D., Couwenberg, J., Evans, C.D., Murdiyarso, D., Page, S.E., Renou-Wilson, F., Rieley, J.O., Sirin, A., Strack, M., Tuittila, E.-S. 2016 Greenhouse gas emission factors associated with rewetting of organic soils [in special issue: Greenhouse gas fluxes in degraded and restored peatlands: global perspectives. </t>
    </r>
    <r>
      <rPr>
        <i/>
        <sz val="11"/>
        <color theme="1"/>
        <rFont val="Arial"/>
        <family val="2"/>
      </rPr>
      <t>Mires and Peat</t>
    </r>
    <r>
      <rPr>
        <sz val="11"/>
        <color theme="1"/>
        <rFont val="Arial"/>
        <family val="2"/>
      </rPr>
      <t xml:space="preserve"> 17, 4 https://doi.org/10.19189/MaP.2016.OMB.222 </t>
    </r>
  </si>
  <si>
    <r>
      <t>Note that for the purposes of the analysis M22 and M24 are considered as wet grassland on organic soils under 300m altitude</t>
    </r>
    <r>
      <rPr>
        <b/>
        <sz val="11"/>
        <color theme="1"/>
        <rFont val="Arial"/>
        <family val="2"/>
      </rPr>
      <t>.</t>
    </r>
  </si>
  <si>
    <t>Notes and source</t>
  </si>
  <si>
    <t>Median of range 6.07 to 7.65. Source: RSPB (2017)</t>
  </si>
  <si>
    <t>Median of range -7.91 to + 0.1. Source: Evans and others (2016)</t>
  </si>
  <si>
    <t>Median of range -3.63 to -17.78. Source: RSPB (2017)</t>
  </si>
  <si>
    <t>(tonnes of carbon</t>
  </si>
  <si>
    <t>dioxide equivalent</t>
  </si>
  <si>
    <t>/ha/yr)</t>
  </si>
  <si>
    <t>on the NNR / yr)</t>
  </si>
  <si>
    <t>Total for the NNR (does not include wet woodland)</t>
  </si>
  <si>
    <t>Listed in table at bottom of sheet</t>
  </si>
  <si>
    <t>Estimated with low confidence. The data used are generalised values for broad habitat types that are best estimates (not based on studies at the site). No data are available to estimate the net flux for wet woodland (which covers 14% of the NNR).</t>
  </si>
  <si>
    <t>Note that carbon storage could be included as an indicator, but has not been for this study.</t>
  </si>
  <si>
    <t>Non-traded carbon (central value) (£/t carbon dioxide equivalent)</t>
  </si>
  <si>
    <t>Value of net carbon flux</t>
  </si>
  <si>
    <t xml:space="preserve">ORVal is an evidence-based model for all visits to the natural environment in England and Wales.  </t>
  </si>
  <si>
    <t>Consequently ORVal data are used to estimate the value per visit.</t>
  </si>
  <si>
    <t xml:space="preserve">It is slightly higher than a rough estimate of admission fees for adults charged by a sample of Nature Reserves that charge for access, summarised below. </t>
  </si>
  <si>
    <t>ORVal estimates 149,119 visits by adults to Shapwick Heath NNR per year with a total welfare value of £747,089.</t>
  </si>
  <si>
    <t xml:space="preserve">However, admission fees for Nature Reserves cannot be assumed to provide estimates of economic welfare value, not least because admission fees are subsidised by some providers (to encourage people to visit) </t>
  </si>
  <si>
    <t>and the market may not be competitive (there are no admission fees for some sites).</t>
  </si>
  <si>
    <t xml:space="preserve">Assumption: people undertaking educational visits to the NNR would pay the fees charged by sample of Nature Reserves that charge for educational visits. </t>
  </si>
  <si>
    <t>That suggests that for this study, the value of educational visits is under-estimated by at least 50% (the estimates below may also be underestimates).</t>
  </si>
  <si>
    <t>Discount rate:</t>
  </si>
  <si>
    <t xml:space="preserve">Discount factor in 2036: </t>
  </si>
  <si>
    <t>(In the analysis, 2017 is year 0, which makes 2036 year 19. The discount factor in year 19 is used to calculate the present value of the residual value)</t>
  </si>
  <si>
    <t>Note that the calculations recognise that the Excel NPV function assumes that the first data entry is in year 1 (not in year 0) of the analysis.</t>
  </si>
  <si>
    <t>0 - 30 miles (includes 0-10)</t>
  </si>
  <si>
    <t>% of all expenditure on capital items made to local businesses within 0 - 10 miles of the NNR (excluding large regional or national firms):</t>
  </si>
  <si>
    <t>And % within 0 - 30 miles (including businesses within 0 - 10 miles):</t>
  </si>
  <si>
    <t>0 - 10 miles of NNR</t>
  </si>
  <si>
    <t xml:space="preserve">Annuity factor: </t>
  </si>
  <si>
    <t>Costs in CMSi paid by NE excluding capital items:</t>
  </si>
  <si>
    <t>Purchases of capital items by NE:</t>
  </si>
  <si>
    <t>Residual value calculated using equivalent annual value because flow of revenue is irregular</t>
  </si>
  <si>
    <t>Present value of the</t>
  </si>
  <si>
    <t>residual value (£)</t>
  </si>
  <si>
    <t>Total present value including</t>
  </si>
  <si>
    <t>the residual value (£)</t>
  </si>
  <si>
    <t>benefits mostly to others who don't pay NE for them</t>
  </si>
  <si>
    <t>benefits to NE and/or others who pay NE for them</t>
  </si>
  <si>
    <t>Of this, total value of goods and services that provide:</t>
  </si>
  <si>
    <t>Percentage of present value of liabilities met externally</t>
  </si>
  <si>
    <t>Discounting is a technique used by economists so they can compare or combine costs or benefits that occur in different years. It is necessary to use for this account.</t>
  </si>
  <si>
    <t>It is used because, in general, society prefers to receive benefits now rather than in the future and to delay paying costs. See bottom of table for further details.</t>
  </si>
  <si>
    <t xml:space="preserve">The present value includes an estimate of the total of the flow of costs arising after year 20 of the analysis in perpetuity (known as the 'residual value'). </t>
  </si>
  <si>
    <t xml:space="preserve">The present value includes an estimate of the total of the flow of values arising after year 20 of the analysis in perpetuity (known as the 'residual value'). </t>
  </si>
  <si>
    <t>It is used because, in general, society prefers to receive benefits now rather than in the future and to delay paying costs. See below the table for further details.</t>
  </si>
  <si>
    <t>Note: because net carbon sequestration is of benefit to society, the quantity of the net carbon flux (which is negative for carbon sequestration) multiplied by the unit monetary value is converted into a positive figure.</t>
  </si>
  <si>
    <t>Hay-feed for organic cattle / produce silage/ reed / rush used as bedding. Cattle managed by tenant, Red Devons, Highlands, Bagot Goats - Benefits managing the NNR - potential for them to sell produce advertising the NNR</t>
  </si>
  <si>
    <t>Indicator unit of measurement</t>
  </si>
  <si>
    <t>HM Government (2011) One-In, One-Out Methodology</t>
  </si>
  <si>
    <t>Role (Pay band)</t>
  </si>
  <si>
    <t>(data from the organisation's salary ranges)</t>
  </si>
  <si>
    <t xml:space="preserve">Full salary costs to Natural England (£ / year) </t>
  </si>
  <si>
    <t>Basic</t>
  </si>
  <si>
    <t>(working 36 hrs / week)</t>
  </si>
  <si>
    <t xml:space="preserve">Calculates the total present value of costs and assets (gross and net). </t>
  </si>
  <si>
    <t xml:space="preserve">Liabilities are the sum of the discounted values of the costs of delivering the long term goal </t>
  </si>
  <si>
    <t>Eftec, RSPB &amp; PWC (2015a) Developing corporate natural capital accounts. Final Report for the Natural Capital Committee.</t>
  </si>
  <si>
    <r>
      <t xml:space="preserve">Liabilities </t>
    </r>
    <r>
      <rPr>
        <sz val="11"/>
        <color theme="1"/>
        <rFont val="Arial"/>
        <family val="2"/>
      </rPr>
      <t>(present value of the costs)</t>
    </r>
  </si>
  <si>
    <t>Because the NNR does not provide goods and services from non-renewable resources (eg through extraction of aggregates), that section is left blank</t>
  </si>
  <si>
    <t>The private column focusses on benefits to Natural England or that Natural England is paid for, and costs to Natural England.</t>
  </si>
  <si>
    <t xml:space="preserve">The external column focusses on benefits to others  (eg society) and costs incurred by others (eg volunteers). </t>
  </si>
  <si>
    <t>This sheet calculates the net value of assets for delivery of the plan to achieve the long term goal.</t>
  </si>
  <si>
    <t>It differs from that framework in that it provides a snapshot. It has not been used here to provide monitoring (to report changes compared with a baseline scenario), though it could be modified to do so.</t>
  </si>
  <si>
    <t>CALCULATION CHECKS:</t>
  </si>
  <si>
    <t>Net asset value</t>
  </si>
  <si>
    <t xml:space="preserve">Assets </t>
  </si>
  <si>
    <t>Check</t>
  </si>
  <si>
    <t>HM Treasury (2018) The Green Book. Central Government Guidance on Appraisal &amp; Evaluation.</t>
  </si>
  <si>
    <t>If firewood is supplied for free e.g. to volunteers, enter the local price for firewood (for collection by customer) for the unit of measure you have entered in G &amp; S Initial.</t>
  </si>
  <si>
    <t>Tenants' revenue should be described as 'NE and/or others who pay NE for it' in column C.</t>
  </si>
  <si>
    <t>(This is used in the natural capital account)</t>
  </si>
  <si>
    <t>If the NNR or NE is paid for it, where can you get estimates of the revenue from?</t>
  </si>
  <si>
    <t xml:space="preserve">In the column for people who said the NNR was not a reason for their visit, also include people who said that the did not know. </t>
  </si>
  <si>
    <t xml:space="preserve">% of visitors reporting that NNR was the: </t>
  </si>
  <si>
    <t>main reason for their visit</t>
  </si>
  <si>
    <t>one of reasons for their visit</t>
  </si>
  <si>
    <t>not the reason or they didn't know</t>
  </si>
  <si>
    <t>Complete the white cells, providing information on other businesses that are based on the same site as the NNR.</t>
  </si>
  <si>
    <t>Data entered by the analyst</t>
  </si>
  <si>
    <t xml:space="preserve">(Used to estimate the value of recreational visits in the natural capital account). </t>
  </si>
  <si>
    <t xml:space="preserve">(Used in the natural capital account to estimate the value of educational visits that have educational input by NNR staff or volunteers). </t>
  </si>
  <si>
    <t>(Used in the natural capital account)</t>
  </si>
  <si>
    <t>(Used in the natural capital account to calculate the value of the net carbon flux)</t>
  </si>
  <si>
    <t xml:space="preserve">The ORVal estimate is higher than estimates of economic welfare value estimated by Sen and others (2014) in a meta-analysis of recreational visits in the UK (in 2012): </t>
  </si>
  <si>
    <t xml:space="preserve">£3.79 per visit to woodlands and forests, £2.07 per visit to freshwater and floodplains and £1.75 per visit to grasslands (at 2017 prices, adjusted for inflation using the HM Treasury GDP deflator (2018)). </t>
  </si>
  <si>
    <t>The admission fees listed below (data from 10 October 2017) are for non-members and do not reflect savings from family admissions.</t>
  </si>
  <si>
    <t>Comparison of the ORVal estimate with other estimates of value (which are included here for potential use in future applications of the workbook):</t>
  </si>
  <si>
    <t>Value used for this study for Shapwick Heath NNR:</t>
  </si>
  <si>
    <t xml:space="preserve">Important: in the final year of your projection, enter the costs or inputs that are likely to continue annually thereafter (though do not do this for capital items). </t>
  </si>
  <si>
    <t xml:space="preserve"> Enter estimates of the amount of expenditure required each year to replace existing items and obtain any new items. </t>
  </si>
  <si>
    <t>Note: this sheet includes calculation of the 'total present value', which is the sum of the discounted value of the costs over the period of the account.</t>
  </si>
  <si>
    <t>Figures supplied by the analyst that are used in the calculations of total present value:</t>
  </si>
  <si>
    <t>(HM Treasury specifies the discount rate that should be used by the public sector in the UK. Source: HM Treasury (2018)).</t>
  </si>
  <si>
    <t xml:space="preserve">This is used to calculate the equivalent annual cost of capital items, which is included to calculate the residual value because the costs fluctuate. </t>
  </si>
  <si>
    <t>It is calculated for a period of 20 years using a formula from HM Government (2011).</t>
  </si>
  <si>
    <t xml:space="preserve">Equivalent annual value: </t>
  </si>
  <si>
    <t>If the costs are at a constant rate each year, the residual value is calculated as the costs in year 20 of the analysis divided by the discount rate. If costs fluctuate, residual value is calculated as the equivalent annual value divided by the discount rate.</t>
  </si>
  <si>
    <t>If, after year 20, the value is expected to continue at a constant rate each year, the residual value is calculated as the value in year 20 of the analysis divided by the discount rate.</t>
  </si>
  <si>
    <t>Rough estimate of the percentage of recreational visits that are by children (under 16)?</t>
  </si>
  <si>
    <t xml:space="preserve">Tip: when entering revenue, use data from last financial year if that was typical, or average annual data from recent years if last year was unusual. If total revenue is entered and it differs significantly between years (eg due to a tree felling cycle), enter the annual average. </t>
  </si>
  <si>
    <t xml:space="preserve">If the goal is continuation of the current situation, please specify the year (or years) that it will use data from: </t>
  </si>
  <si>
    <t xml:space="preserve">Use costs from last financial year if that was typical, average annual costs over recent years if last year was unusual, or estimates.  </t>
  </si>
  <si>
    <t xml:space="preserve">Use quantities for last financial year if that was typical, average annual quantities over recent years if last year was unusual, or estimates.  </t>
  </si>
  <si>
    <t>Using indicators, this describes the extent, quality, health and capacity of ecosystems in the NNR. These are for a plan to deliver the goal (recorded on the Focus sheet).</t>
  </si>
  <si>
    <t xml:space="preserve"> If change is expected, please indicate the area of habitat in the first year of the account, and what it will be each year over the following 20 years. This is used to estimate changes in net carbon flux.</t>
  </si>
  <si>
    <t>The costs are for a plan to deliver the goal (which is set out on the Focus sheet).</t>
  </si>
  <si>
    <t>Sets out projections for costs of NNR maintenance, improvements and capital investment. These are for a plan to deliver the goal (set out on the Focus sheet).</t>
  </si>
  <si>
    <t>The level of the good or service provided by the NNR relative to other goods/services delivered by the NNR (this is used to identify the priorities to focus the assessment on):</t>
  </si>
  <si>
    <t>With delivery of the plan, the level of good / service relative to the level of other goods / services provided by NNR</t>
  </si>
  <si>
    <t>Gross asset value is the sum of discounted monetary values of environmental goods and services delivered by the long term goal over the period of the assessment.</t>
  </si>
  <si>
    <r>
      <t xml:space="preserve">The first year of the 20 year period that will be used for the assessment. </t>
    </r>
    <r>
      <rPr>
        <sz val="11"/>
        <color theme="1"/>
        <rFont val="Arial"/>
        <family val="2"/>
      </rPr>
      <t>This might be the start of last financial year  (eg enter 2017 for 2017/18), the start of the current financial year, or next year.</t>
    </r>
  </si>
  <si>
    <t xml:space="preserve">Alternatively, use estimates. </t>
  </si>
  <si>
    <t>Assumptions/notes</t>
  </si>
  <si>
    <t xml:space="preserve">In Corporate Natural Capital Accounting (Eftec and others 2015a) this information would be presented in the Balance Sheet. </t>
  </si>
  <si>
    <t>In Corporate Natural Capital Accounting (Eftec and others 2015a) this is called the Monetary Account.</t>
  </si>
  <si>
    <t>Value of educational visits that have educational input by NNR staff or volunteers</t>
  </si>
  <si>
    <t xml:space="preserve">To enable simple analysis, in this study, the value used per educational visit by school pupils is the average fee charged by the NNR per pupil per visit:  </t>
  </si>
  <si>
    <t xml:space="preserve">This is calculated from the revenue. It is 50% of the value estimated below from fees charged by a sample of NNRs that charge for visits. </t>
  </si>
  <si>
    <t xml:space="preserve">Shapwick Heath NNR does not charge a fee for educational visits by the public. </t>
  </si>
  <si>
    <t>It is assumed that the percentage of public educational visits that are by children is the same as the percentage of recreational visits that are by children.</t>
  </si>
  <si>
    <t>In 2017:</t>
  </si>
  <si>
    <t>Total no. of loose loads of firewood sold</t>
  </si>
  <si>
    <t xml:space="preserve">Total no. of bags of firewood sold </t>
  </si>
  <si>
    <t xml:space="preserve">Value of benefits to society not paid for  </t>
  </si>
  <si>
    <t>(net carbon flux, recreational visits, educational visits by public)</t>
  </si>
  <si>
    <t>Total revenue in 2017</t>
  </si>
  <si>
    <t>Value of benefits to society not paid for in 2017</t>
  </si>
  <si>
    <t>Summary information for 2017 for use in the report:</t>
  </si>
  <si>
    <t>Benefits to Natural England (ie revenue):</t>
  </si>
  <si>
    <t>Benefits to society as % of total</t>
  </si>
  <si>
    <t>Equivalent annual value of costs that fluctuate</t>
  </si>
  <si>
    <t xml:space="preserve">It is calculated for the following items as the present value of the stream of costs over 20 years divided by the annuity factor (above) (HM Government, 2011) </t>
  </si>
  <si>
    <t xml:space="preserve">Total direct contribution from other businesses </t>
  </si>
  <si>
    <t>Total direct contribution from the NNR plus other businesses on the site</t>
  </si>
  <si>
    <t xml:space="preserve">Total direct, indirect and induced contribution from other businesses </t>
  </si>
  <si>
    <t>Total direct, indirect and induced contribution from the NNR plus other businesses on the site</t>
  </si>
  <si>
    <t>Total direct, indirect and induced contribution from the NNR</t>
  </si>
  <si>
    <t xml:space="preserve">(i) Source: ICF GHK (2013) based on a review of impacts from local studies using the Cambridge and STEAM models. </t>
  </si>
  <si>
    <t>Note that for Shapwick Heath NNR, the equivalent annual value is used for costs in CMSi excluding capital items and for purchases of capital items because the flow of these costs is irregular.</t>
  </si>
  <si>
    <t xml:space="preserve">(i) Data assume that 90% of expenditure was in the local economy to account for petrol bought at home (on the basis that that on average 16% of total spend </t>
  </si>
  <si>
    <t xml:space="preserve">(ii) Factor used to adjust 2009 figures for inflation: </t>
  </si>
  <si>
    <t>(If data have been supplied for the NNR, see the Values sheet for calculation of total local visitor expenditure using those data).</t>
  </si>
  <si>
    <t>6. Though rent can be considered a direct contribution to the local economy if the recipient is local, it rent is paid, it is not separated out here. This is to protect confidential information.</t>
  </si>
  <si>
    <t>Contribution to local economy (within 0 - 10 miles of NNR)</t>
  </si>
  <si>
    <t>Contribution to regional economy (within 0 - 30 miles of NNR)</t>
  </si>
  <si>
    <t>For visitor expenditure in local economy (within 0 - 10 miles of NNR)</t>
  </si>
  <si>
    <t xml:space="preserve">See Note (i) </t>
  </si>
  <si>
    <t>See Note (i)</t>
  </si>
  <si>
    <t>That is because people who live locally would be spending money in the local economy even if they did not visit the NNR.</t>
  </si>
  <si>
    <t xml:space="preserve">Estimates are not calculated for the regional economy because the necessary data are not available. </t>
  </si>
  <si>
    <t>Data for all industries are used to calculate the contribution to employment and GVA as information on the amount of spend in each sector of the economy is not readily available. This is consistent with ICF GHK (2013).</t>
  </si>
  <si>
    <t>5. Because expenditure was estimated to fluctuate in future years, the equivalent annual values (calculated from projections in the natural capital account) are used.</t>
  </si>
  <si>
    <t>£/yr</t>
  </si>
  <si>
    <t>Total direct contribution</t>
  </si>
  <si>
    <t xml:space="preserve">% of 'active' visits by 'active' adults that would not have taken place elsewhere if the </t>
  </si>
  <si>
    <t>NNR was not available.</t>
  </si>
  <si>
    <t xml:space="preserve">The approach that is adopted here is based on that used by White and others (2016). It estimates the improvement in Quality Adjusted Life Years (QALYs) for active visitors.  </t>
  </si>
  <si>
    <t>QALYs are a quantitative measure of the state of health. They are used to assess the impact of health-related interventions on the length and quality of life (and are commonly used  in the UK).</t>
  </si>
  <si>
    <t xml:space="preserve">One QALY equals a year lived in perfect health (NICE, 2014). </t>
  </si>
  <si>
    <t>This analysis employs government guidance on the value to society of a QALY (HM Treasury, 2018), which is different to the value employed by White and others (2016).</t>
  </si>
  <si>
    <t>It may include sport, exercise, and brisk walking or cycling for recreation or to get to and from places, but does not include housework or physical activity that may be part of the person's job (Source: Natural England, 2017).</t>
  </si>
  <si>
    <t xml:space="preserve">The assessment focuses on adults who are 'active', that is, who report that they undertake exercise for 30 minutes or more 5 or more times per week (White and others 2016). This provides a conservative estimate of the health benefits as it does not include people who exercise at a lower level. </t>
  </si>
  <si>
    <t>In the absence of site specific data, it is assumed that active adults would have made their active visits elsewhere.</t>
  </si>
  <si>
    <t>Data for the NNR that are employed in the calculations:</t>
  </si>
  <si>
    <t>Source: White and others (2016) Tables 1 &amp; 4, using MENE data for 2009/10 to 2014/15. The estimate is an average for adults' visits in the natural environment in England.</t>
  </si>
  <si>
    <t>Estimate of willingness to pay for a QALY. Source: HM Treasury (2018).</t>
  </si>
  <si>
    <t xml:space="preserve">An ‘active’ adult visitor is defined here as someone who reports that they undertake exercise for 30 minutes or more 5 or more times per week. </t>
  </si>
  <si>
    <t>They make an ‘active’ visit if their visit involved raising their breathing rate for 30 minutes or more.</t>
  </si>
  <si>
    <r>
      <t xml:space="preserve">A. For 'active' adults making 'active' visits supported by the NNR, </t>
    </r>
    <r>
      <rPr>
        <b/>
        <sz val="12"/>
        <color rgb="FFFF0000"/>
        <rFont val="Arial"/>
        <family val="2"/>
      </rPr>
      <t>most of which would occur in the absence of the NNR (because at least some people would visit somewhere else instead):</t>
    </r>
  </si>
  <si>
    <t>HEAT assumes a linear relationship between walking and the risk of all-cause mortality, which means that information is not needed on background levels of activity undertaken by individuals.</t>
  </si>
  <si>
    <t>The value of a prevented fatality in the Department for Transport (2018) Table A4.1.1 is used here for the value of a statistical life.</t>
  </si>
  <si>
    <r>
      <rPr>
        <i/>
        <sz val="12"/>
        <color theme="1"/>
        <rFont val="Arial"/>
        <family val="2"/>
      </rPr>
      <t>Assumes that no 'active' visits by 'active adults would have taken place elsewhere in the absence of the NNR.</t>
    </r>
    <r>
      <rPr>
        <sz val="12"/>
        <color theme="1"/>
        <rFont val="Arial"/>
        <family val="2"/>
      </rPr>
      <t xml:space="preserve"> </t>
    </r>
  </si>
  <si>
    <t>% of visits that involve walking that would not have taken place elsewhere if the NNR</t>
  </si>
  <si>
    <t xml:space="preserve">Assumes that 8% of adult visitors who go for a walk would not have walked elsewhere in the absence of the NNR. Based on survey data for English coastal paths </t>
  </si>
  <si>
    <t xml:space="preserve">that indicates that 8% of all visitors would not have undertaken physical activity if they had not visited the coastal paths (ICF and others 2019). </t>
  </si>
  <si>
    <t xml:space="preserve">would not have undertaken physical activity if they had not visited the coastal paths (ICF and others 2019). </t>
  </si>
  <si>
    <t xml:space="preserve">Based on survey data for English coastal paths that indicates that 8% of all visitors </t>
  </si>
  <si>
    <t>Source: Department for Transport (2018) (which gives a value of £1,548,104 at 2010 values and prices)</t>
  </si>
  <si>
    <t>or average distance walked per day (miles)</t>
  </si>
  <si>
    <t>Does the calculation use an estimate of the walking visits reliant on the NNR entered in the Values sheet?</t>
  </si>
  <si>
    <t>Number of adult visitors per year who go for a walk on the NNR but would not walk if the</t>
  </si>
  <si>
    <t xml:space="preserve"> NNR was not available.</t>
  </si>
  <si>
    <t>Number of adult visitors who go for a walk on the NNR per year.</t>
  </si>
  <si>
    <t>Note that if there are no visits that are reliant on the NNR, there are no health benefits that are reliant on the NNR. Is this the case?</t>
  </si>
  <si>
    <t xml:space="preserve">% of visits that are by adults who report undertaking 30 mins or more exercise 5 days </t>
  </si>
  <si>
    <t>Average number of visits per year by adults who go for a walk.</t>
  </si>
  <si>
    <t>The number of premature deaths in people who walk on the NNR prevent per year</t>
  </si>
  <si>
    <t xml:space="preserve">Calculation of the economic value employs value of a statistical life of  £1,701,821 (2016-17 value) based on the value of a prevented fatality of £1,548,104 at 2010 values and prices in Department for </t>
  </si>
  <si>
    <t>For educational visits by members of the public:</t>
  </si>
  <si>
    <t xml:space="preserve">For adults, the value used is the estimated value of a recreational visit: </t>
  </si>
  <si>
    <t>For children, the value used is the value employed for educational visits by school children:</t>
  </si>
  <si>
    <t>In the absence of data on the economic value of educational visits, the above values are the best available estimates.</t>
  </si>
  <si>
    <t>These values are expected to under-estimate the values of educational visits. For adults, the value used does not include the additional educational value of an educational visit.</t>
  </si>
  <si>
    <t>For children, the value used is an under-estimate, as explained above.</t>
  </si>
  <si>
    <t xml:space="preserve">Total revenue from firewood </t>
  </si>
  <si>
    <t>Total revenue (firewood &amp; educational visits by pupils)</t>
  </si>
  <si>
    <t>Revenue (benefits to NE) as % of total</t>
  </si>
  <si>
    <t>The approach that is adopted is based on Linsley and others (2018).</t>
  </si>
  <si>
    <t>Benefit to regular volunteers</t>
  </si>
  <si>
    <t>£ per year</t>
  </si>
  <si>
    <t>Making new social contacts and friendships.</t>
  </si>
  <si>
    <t>Cost of attending camaraderie-oriented group offered by AgeUK (£5.00 per week) (estimate employed by Linsley and others (2018))</t>
  </si>
  <si>
    <t>Satisfaction from contributing to a worthwhile cause.</t>
  </si>
  <si>
    <t xml:space="preserve">Average value of household's charity donations (£3.00 per week) (Source: ONS (2017)) (Estimate employed by Linsley and others (2018)). </t>
  </si>
  <si>
    <t>Training</t>
  </si>
  <si>
    <t xml:space="preserve">Estimate based on the following sample of costs of gym membership for budget operators (The Guardian, 2017). Pure Gym: Manchester Spinningfields £264 / yr (£21.99 a month, plus £10 joining fee); Bristol Union Gate: £250 / yr (£19.99 a month plus £10 joining fee). The Gym: Manchester Ashton Old Road: £154 / yr (£11.99 a month plus £10 joining fee); Bristol: £204 / yr (£16.99 a month, no joining fee) </t>
  </si>
  <si>
    <t>ONS (2017) Components of Household Expenditure 2017. URL: https://www.ons.gov.uk/peoplepopulationandcommunity/personalandhouseholdfinances/expenditure/datasets/componentsofhouseholdexpenditureuktablea1 [Accessed 11 February 2019].</t>
  </si>
  <si>
    <t>The Guardian (2017) Joining a gym? Save pennies as you shed the pounds. URL: https://www.theguardian.com/money/2017/jan/07/gym-membership-guide-to-cutting-costs [Accessed 11 February 2019]</t>
  </si>
  <si>
    <t xml:space="preserve">13 who make a regular commitment on the practical side of reserve management, and 20 who regularly contribute to species surveying and monitoring.
</t>
  </si>
  <si>
    <t>Note that entry here is focussed on the benefits to the volunteers from volunteering regularly, not the work that they do to the NNR</t>
  </si>
  <si>
    <t xml:space="preserve">Cost of attending a training course to learn a skill such as the brush cutter training based on the following sample of costs: £130 + VAT (Blake Training), £145 + VAT (Hush Farms). </t>
  </si>
  <si>
    <t>Source of costs of training courses: http://www.blaketraining.co.uk/brushcutter-trimmer-maintenance-and-operation-lantra-awards-ita-for-experienced-novice-operator. http://www.hushfarms.co.uk/Brushcutter-Trimmer-Training-c-10.asp [Accessed 11 Feb 2019]</t>
  </si>
  <si>
    <t>Linsley, P. and McMurray, R. (2018) North York Moors National Park Authority Measuring Health and Well-being Impact</t>
  </si>
  <si>
    <t xml:space="preserve">It is likely to under-estimate the value, as noted in Linsley and others (2018). Employing a different technique, Fujiwara and others (2013) estimate that adults in the UK who volunteer frequently </t>
  </si>
  <si>
    <t>It also is not employed in the account developed by the RSPB (2017), which instead used the value of work done by volunteers as an estimate of the value of benefits to volunteers.</t>
  </si>
  <si>
    <t xml:space="preserve">derive a wellbeing benefit from it that has a monetary value of about £13,500 on average per year (in 2011 prices). That value is not employed here because it is high relative to other values used in the account and so is likely to distort the results. </t>
  </si>
  <si>
    <t>It is assumed that regular volunteers benefit from exercise that is comparable to that offered by membership of a gym run by a budget operator.</t>
  </si>
  <si>
    <t xml:space="preserve">In the absence of a value, the satisfaction regular volunteers gain from contributing their time to a worthwhile cause is estimated using the amount that households donate regularly to charity. </t>
  </si>
  <si>
    <t xml:space="preserve">In the absence of a value, the training gained by a regular volunteer is estimated based on the cost of training in use of brush cutters (common training for NNR volunteers). This is comparable to the cost of training in hedge laying, which is employed by Linsley and others (2018). </t>
  </si>
  <si>
    <t>Research projects. Includes research conducted by others (students, researchers, citizens, colleagues, long term monitoring network) and other research that NNR staff and volunteers contribute towards.</t>
  </si>
  <si>
    <t>Value of benefits to people who volunteer regularly</t>
  </si>
  <si>
    <t xml:space="preserve">The value to people who volunteer regularly is estimated based on the prices people pay for benefits that are similar to those that people get from volunteering regularly, focussing on those aspects that can be estimated easily. </t>
  </si>
  <si>
    <t xml:space="preserve">Maintain current levels of good access to the public, continue to provide good quality engagement with the public and maintain current favourable condition of habitats on the NNR. </t>
  </si>
  <si>
    <t>Is tussocky wet MG9 grassland habitat in favourable condition?</t>
  </si>
  <si>
    <t>Is tussocky dry MG1 grassland habitat in favourable condition?</t>
  </si>
  <si>
    <t>Is species rich wet MG8 grassland habitat in favourable condition?</t>
  </si>
  <si>
    <t>Is species rich dry MG5 grassland habitat in favourable condition?</t>
  </si>
  <si>
    <t>Are semi- improved MG6, MG7 grassland habitats in favourable condition?</t>
  </si>
  <si>
    <t xml:space="preserve">Are staff and volunteers available to make input to educational visits? </t>
  </si>
  <si>
    <t>Private benefits as a percentage of total benefits</t>
  </si>
  <si>
    <t>Multiplier used to estimate induced and indirect effects as well as direct effects for the contribution of the NNR and other businesses on the site (See Note 2):</t>
  </si>
  <si>
    <t xml:space="preserve">Factor used to adjust figures to (£m): </t>
  </si>
  <si>
    <t>Amount (£) per year in:</t>
  </si>
  <si>
    <t>Present value of the residual value (£)</t>
  </si>
  <si>
    <t>Total present value including residual value (£)</t>
  </si>
  <si>
    <t>Contribution of the NNR and other businesses on the site to the local and regional economy:</t>
  </si>
  <si>
    <t>Total revenue from loose loads of firewood</t>
  </si>
  <si>
    <t xml:space="preserve">Total revenue from bags of firewood </t>
  </si>
  <si>
    <t>Numbers of wintering waterfowl</t>
  </si>
  <si>
    <t>Numbers of wintering waterfowl using the reserve each month in winter</t>
  </si>
  <si>
    <t>Wetland Bird Survey Counts</t>
  </si>
  <si>
    <r>
      <t xml:space="preserve">Net asset value </t>
    </r>
    <r>
      <rPr>
        <sz val="11"/>
        <color theme="1"/>
        <rFont val="Arial"/>
        <family val="2"/>
      </rPr>
      <t>(the present value of the assets, considering the costs)</t>
    </r>
  </si>
  <si>
    <t>In this account, because it was not possible to attribute any costs to the goods and services, no costs have been deducted in calculation of the gross asset value.</t>
  </si>
  <si>
    <r>
      <t xml:space="preserve">Gross asset value </t>
    </r>
    <r>
      <rPr>
        <sz val="11"/>
        <color theme="1"/>
        <rFont val="Arial"/>
        <family val="2"/>
      </rPr>
      <t>(present value of the assets)</t>
    </r>
  </si>
  <si>
    <t>Table 1. Inputs to estimating the health benefits for 'active' people who make 'active' visits to the  NNR</t>
  </si>
  <si>
    <t>1. Health benefits for 'active' people who make 'active' visits to the NNR:</t>
  </si>
  <si>
    <t>Present value of net carbon flux as % of gross asset value</t>
  </si>
  <si>
    <t>Brief description of the business(es)</t>
  </si>
  <si>
    <t>Focussing only on activities on the NNR, staff input in terms of full time equivalents (FTEs)</t>
  </si>
  <si>
    <r>
      <t xml:space="preserve">Note that it is the </t>
    </r>
    <r>
      <rPr>
        <b/>
        <sz val="11"/>
        <color theme="1"/>
        <rFont val="Arial"/>
        <family val="2"/>
      </rPr>
      <t xml:space="preserve">contribution </t>
    </r>
    <r>
      <rPr>
        <sz val="11"/>
        <color theme="1"/>
        <rFont val="Arial"/>
        <family val="2"/>
      </rPr>
      <t>to the economy that is assessed here, not the impact. Assessment of the impact would involve comparison against what would happen in the absence of the NNR.</t>
    </r>
  </si>
  <si>
    <r>
      <rPr>
        <b/>
        <sz val="11"/>
        <color theme="1"/>
        <rFont val="Arial"/>
        <family val="2"/>
      </rPr>
      <t xml:space="preserve">Published data used for the calculations </t>
    </r>
    <r>
      <rPr>
        <sz val="11"/>
        <color theme="1"/>
        <rFont val="Arial"/>
        <family val="2"/>
      </rPr>
      <t>(Note i):</t>
    </r>
  </si>
  <si>
    <r>
      <t xml:space="preserve">AECOM (2016) </t>
    </r>
    <r>
      <rPr>
        <i/>
        <sz val="11"/>
        <color theme="1"/>
        <rFont val="Arial"/>
        <family val="2"/>
      </rPr>
      <t>Evaluation of the social,
economic and cultural
ecosystem service impacts of
the Cumbria Bog LIFE+ Project.</t>
    </r>
    <r>
      <rPr>
        <sz val="11"/>
        <color theme="1"/>
        <rFont val="Arial"/>
        <family val="2"/>
      </rPr>
      <t xml:space="preserve"> </t>
    </r>
  </si>
  <si>
    <r>
      <t xml:space="preserve">Homes &amp; Communities Agency (2014) </t>
    </r>
    <r>
      <rPr>
        <i/>
        <sz val="11"/>
        <color theme="1"/>
        <rFont val="Arial"/>
        <family val="2"/>
      </rPr>
      <t>Additionality Guide</t>
    </r>
    <r>
      <rPr>
        <sz val="11"/>
        <color theme="1"/>
        <rFont val="Arial"/>
        <family val="2"/>
      </rPr>
      <t>. Fourth Edition</t>
    </r>
  </si>
  <si>
    <r>
      <t xml:space="preserve">ICF GHK (2013) </t>
    </r>
    <r>
      <rPr>
        <i/>
        <sz val="11"/>
        <color theme="1"/>
        <rFont val="Arial"/>
        <family val="2"/>
      </rPr>
      <t>The economic impact of Natural England’s National Nature Reserves</t>
    </r>
    <r>
      <rPr>
        <sz val="11"/>
        <color theme="1"/>
        <rFont val="Arial"/>
        <family val="2"/>
      </rPr>
      <t>. Natural England Commissioned Report NECR131</t>
    </r>
  </si>
  <si>
    <r>
      <t xml:space="preserve">ONS (2018a) </t>
    </r>
    <r>
      <rPr>
        <i/>
        <sz val="11"/>
        <color theme="1"/>
        <rFont val="Arial"/>
        <family val="2"/>
      </rPr>
      <t>Labour market statistics summary data tables</t>
    </r>
    <r>
      <rPr>
        <sz val="11"/>
        <color theme="1"/>
        <rFont val="Arial"/>
        <family val="2"/>
      </rPr>
      <t>.</t>
    </r>
  </si>
  <si>
    <r>
      <t xml:space="preserve">ONS (2018b) </t>
    </r>
    <r>
      <rPr>
        <i/>
        <sz val="11"/>
        <color theme="1"/>
        <rFont val="Arial"/>
        <family val="2"/>
      </rPr>
      <t>UK non-financial business economy (Annual Business Survey): Sections A to S</t>
    </r>
  </si>
  <si>
    <r>
      <t>ONS (Office of National Statistics) (2017) U</t>
    </r>
    <r>
      <rPr>
        <i/>
        <sz val="11"/>
        <color theme="1"/>
        <rFont val="Arial"/>
        <family val="2"/>
      </rPr>
      <t>nited Kingdom National Accounts: The Blue Book 2017.</t>
    </r>
    <r>
      <rPr>
        <sz val="11"/>
        <color theme="1"/>
        <rFont val="Arial"/>
        <family val="2"/>
      </rPr>
      <t xml:space="preserve"> Industrial Analyses Tables 2.1 &amp; 2.4.</t>
    </r>
  </si>
  <si>
    <t>Contribution to the local and 'regional' economy</t>
  </si>
  <si>
    <t>Further information is provided, where indicated, in notes at the bottom of the page.</t>
  </si>
  <si>
    <t xml:space="preserve">and the contribution to economic activity (measured in terms of gross value added (GVA)). </t>
  </si>
  <si>
    <t>Note that these are rough estimates. The results for GVA should be reported to three significant figures.</t>
  </si>
  <si>
    <t>This sheet calculates the contribution to employment and economic activity in the local and 'regional' economy made by the NNR and businesses on the same site as the NNR.</t>
  </si>
  <si>
    <t>The areas that are appropriate to use for local and regional economy are affected by the location and the nature of the intervention.</t>
  </si>
  <si>
    <t>1. The distance used to define the local economy is consistent with ICF GHK (2013). English Partnerships (2008 ) suggest using the area within which people travel to work or a 10-15 mile radius.</t>
  </si>
  <si>
    <r>
      <t>GHK (2009)</t>
    </r>
    <r>
      <rPr>
        <i/>
        <sz val="11"/>
        <color theme="1"/>
        <rFont val="Arial"/>
        <family val="2"/>
      </rPr>
      <t xml:space="preserve"> Economic Impact of HLF Projects. Volume 1 - Main Report.</t>
    </r>
    <r>
      <rPr>
        <sz val="11"/>
        <color theme="1"/>
        <rFont val="Arial"/>
        <family val="2"/>
      </rPr>
      <t xml:space="preserve"> </t>
    </r>
  </si>
  <si>
    <t>For other applications, it may be more appropriate to use a distance within 50 miles for the regional economy; this is employed by GHK (2009) in its assessment for Heritage Lottery Fund projects.</t>
  </si>
  <si>
    <t xml:space="preserve">The regional economy is used because some NNRs are in remote areas with few businesses.  A distance of within 30 miles is used, informed by AECOM (2016) (a formal region, such as South West England, is not used). </t>
  </si>
  <si>
    <t xml:space="preserve">GVA measures the contribution to the economy by a producer, sector or region. It is the total of wages, profits and rents. It does not include purchases of goods and services from other businesses. </t>
  </si>
  <si>
    <t xml:space="preserve">Because GVA does not include purchases of inputs (which are included in gross output), it can be added together for all firms. GVA measures overall output in the economy without double counting (ICF GHK 2013).  </t>
  </si>
  <si>
    <t xml:space="preserve">2. Ideally, indirect and induced effects would be estimated by tracking expenditure by the project, employees, suppliers and visitors through the economy. </t>
  </si>
  <si>
    <t>This would reflect the specific situation for the NNR. However, obtaining such information is resource-intensive and difficult. Instead, standard estimates of multipliers were used.</t>
  </si>
  <si>
    <t xml:space="preserve"> 1.1 at the neighbourhood level and 1.5 at the national level for an average situation. An area within 10 miles and an area within 30 miles is expected to fall between these two values.</t>
  </si>
  <si>
    <t xml:space="preserve">Standard estimates of multipliers are employed to estimate indirect and induced contributions to employment and gross value added. These indirect and induced contributions arise from suppliers purchasing goods and services from </t>
  </si>
  <si>
    <t>other businesses and employees spending their salaries / wages (see Note 2).</t>
  </si>
  <si>
    <t>GVA supported (£/yr)</t>
  </si>
  <si>
    <t>GVA</t>
  </si>
  <si>
    <t>% of expenditure made to businesses (excluding national businesses) within</t>
  </si>
  <si>
    <t>Each section specifies which benefit assessment it contributes towards.</t>
  </si>
  <si>
    <t>It is estimated with low confidence. The data used are generalised values for broad habitat types that are best estimates (not based on studies at the site).</t>
  </si>
  <si>
    <t>The employment and gross value added supported by expenditure by the NNR are estimated using data on output, employment and gross value added from the national accounts</t>
  </si>
  <si>
    <t>CMSi is the electronic recording system used by the NNRs managed by Natural England.</t>
  </si>
  <si>
    <t>CMSi is the electronic recording system used by Natural England's NNRs.</t>
  </si>
  <si>
    <t>8. Indirect and induced effects arise from supply chain expenditure and expenditure of employees income respectively. They are estimated using the multipliers given at the top of the sheet.</t>
  </si>
  <si>
    <t xml:space="preserve">The contribution of visitor expenditure are estimated only for the local economy. The estimates are for people who do not live within the local economy. </t>
  </si>
  <si>
    <t>Total direct, indirect and induced contribution</t>
  </si>
  <si>
    <t xml:space="preserve">Focuses on the environmental goods and services provided by the NNR. </t>
  </si>
  <si>
    <t>The data are used in a natural capital account. In Corporate Natural Capital Accounting (Eftec and others 2015a) this is called the Asset Register.</t>
  </si>
  <si>
    <t xml:space="preserve">Sets out the quantity of goods and services provided by the NNR in first year of the assessment (which is recorded on the Focus sheet). The data populate the first year in the G &amp; S Projections sheet. </t>
  </si>
  <si>
    <t>The data for the first year are provided by the G &amp; S Initial Sheet.</t>
  </si>
  <si>
    <t>The projections are used in a natural capital account. In Corporate Natural Capital Accounting (Eftec and others 2015a) these data provide the Physical Flow Account.</t>
  </si>
  <si>
    <t>The projections are used in a natural capital account. In Corporate Natural Capital Accounting (Eftec and others 2015a) these data provide the Maintenance Cost Account.</t>
  </si>
  <si>
    <t>In this workbook, the data for the first year are also used to assess the contribution to the local and regional economy.</t>
  </si>
  <si>
    <t>The data populate the first year in the Cost Projections sheet. In this workbook, they are also used to assess the contribution to the local and regional economy.</t>
  </si>
  <si>
    <t>In this workbook, it is used to identify which goods and services to focus on for valuation and to include in a natural capital account (which is used to estimate asset values).</t>
  </si>
  <si>
    <t xml:space="preserve">This sheet collects and presents information that is used to estimate health benefits, the monetary value of goods and services and certain costs. </t>
  </si>
  <si>
    <t xml:space="preserve">It collects site-specific information on recreational visits, educational visits, value of goods and services, information used to assess impacts on the local and regional economy. </t>
  </si>
  <si>
    <t xml:space="preserve">It also presents information provided by the analyst. </t>
  </si>
  <si>
    <t>The calculations provide rough estimates that employ average national data unless specified otherwise. More precise estimates could be derived using local data.</t>
  </si>
  <si>
    <t>The health benefits are estimated only for recreational visits by adults (data are not available to assess the impacts of exercise on the quality and length of life for children).</t>
  </si>
  <si>
    <t>The NNR's contribution to this is recorded in the G&amp; S, G &amp; S Initial and G &amp; S Projections sheets in this workbook and not repeated here.</t>
  </si>
  <si>
    <t>To provide a record of the contributions that the NNR makes to maintaining or enhancing capital.</t>
  </si>
  <si>
    <t>This sheet is based on the Forum for the Future's work on the Five Capitals Model.</t>
  </si>
  <si>
    <t>This sheet calculates the value of the flow of environmental goods and services (without deducting the costs).</t>
  </si>
  <si>
    <t>The sheet includes calculation of the 'total present value', the sum of the discounted value of the goods and services over the period of the assessment.</t>
  </si>
  <si>
    <t>Note that the profit from the Field Studies Council Guide is not included in these calculations.</t>
  </si>
  <si>
    <t>Further explanation:</t>
  </si>
  <si>
    <t>Increase in loads sold estimated by figures so far from April 2017 - December 2017</t>
  </si>
  <si>
    <t>e.g. fence building, step laying</t>
  </si>
  <si>
    <t>E.g. Mammal, Bird and Butterfly surveys</t>
  </si>
  <si>
    <t>(This is used in the natural capital account and estimation of health benefits)</t>
  </si>
  <si>
    <t xml:space="preserve">Estimated economic welfare value per visit by an adult specifically for Shapwick Heath NNR calculated by ORVal (June 2018): </t>
  </si>
  <si>
    <t xml:space="preserve">In the absence of estimates of the economic value per visit by a child, the value of these is not estimated. Consequently, the total value of recreational visits is under-estimated. </t>
  </si>
  <si>
    <t>Estimate based on fees charged by a sample of NNRs that charge for visits:</t>
  </si>
  <si>
    <t>Regular volunteers benefit from opportunities to make social contacts and camaraderie. In the absence of a value for volunteers, the value is estimated using the fee charged for participation in camaraderie groups offered in Settle by Age UK (assumed to be similar to the cost of similar groups elsewhere in England).</t>
  </si>
  <si>
    <t>Example of Age UK charges for camaraderie clubs: https://www.ageuk.org.uk/northcraven/activities-and-events/</t>
  </si>
  <si>
    <t xml:space="preserve">Note that as a simplification, the spreadsheet calculates total IT costs based on the total full time equivalent of staff working on the NNR. </t>
  </si>
  <si>
    <r>
      <t xml:space="preserve">NICE (National Institute for Health and Care Excellence). 2014. </t>
    </r>
    <r>
      <rPr>
        <i/>
        <sz val="12"/>
        <color theme="1"/>
        <rFont val="Arial"/>
        <family val="2"/>
      </rPr>
      <t>Developing NICE guidelines. The manual.</t>
    </r>
  </si>
  <si>
    <t xml:space="preserve">Assumes that 15% of adults' visits are by adults who report undertaking 30 mins or more exercise 5 days or more per week ('active visitors') &amp; undertake some exercise in the natural environment (Source: data from White and others (2016), based on MENE data for visits in the natural environment in England). </t>
  </si>
  <si>
    <t>Transport (2018) WebTAG guidance (Deflated using the GDP deflator (HM Treasury, 2018), a discount rate of 1.5% for calculation of health benefits (based on HM Treasury guidance in the Green Book (2018)) and a time frame of 10 years).</t>
  </si>
  <si>
    <t>It should also be accompanied by the following assumption if the percentage of adult visitors who go for a walk is not estimated in Section 3 of Table 2 in the 'Values' sheet</t>
  </si>
  <si>
    <r>
      <t xml:space="preserve">White, M.P., Elliott, L.R., Taylor, T., Wheeler, B.W., Spencer, A., Bone, A., Depledge, M.H., Fleming, L.E. 2016. Recreational physical activity in natural environments and implications for health: A population based cross-sectional study in England. </t>
    </r>
    <r>
      <rPr>
        <i/>
        <sz val="12"/>
        <color theme="1"/>
        <rFont val="Arial"/>
        <family val="2"/>
      </rPr>
      <t>Preventative Medicine</t>
    </r>
    <r>
      <rPr>
        <sz val="12"/>
        <color theme="1"/>
        <rFont val="Arial"/>
        <family val="2"/>
      </rPr>
      <t xml:space="preserve"> 91 383–388.</t>
    </r>
  </si>
  <si>
    <t>Shapwick Bunny hop and Relish running use sites on the Mendips- money from these goes to a good cause / to Shapwick.
People have the opportunity to volunteer and get involved, this provides them with support and an area to socialise.
We benefit largely from their time.</t>
  </si>
  <si>
    <t>We try to minimise the negative social impacts on local communities, for example when the starlings arrive on the reserve we try to ensure that everyone parks in the correct areas and we aim to keep them off of the roads.
We try to consult people about what goes on onsite for example through Facebook posts and Posters.</t>
  </si>
  <si>
    <t xml:space="preserve">We support local businesses  such as Somerset Crafts and Eco Bites. 
We buy supplies from local suppliers
We promote local B&amp;Bs
The reserve attracts visitors who spend their money in the local area
We provide information to local magazines
We go to Parish Councils if requested / Necessary. </t>
  </si>
  <si>
    <t xml:space="preserve">(i) The contribution of visitor expenditure is estimated only for the local economy (within 10 miles of the NNR). It is not calculated for the regional economy because the necessary data are not available. </t>
  </si>
  <si>
    <t>7. For the local economy, GVA for other businesses on the site is estimated using total FTE employed by the business and the published average GVA per FTE for that sector (using data from the ONS; data provided at top of sheet). It is assumed to be the same for the regional economy (which includes the local economy).</t>
  </si>
  <si>
    <r>
      <t xml:space="preserve">English Partnerships (2008) </t>
    </r>
    <r>
      <rPr>
        <i/>
        <sz val="11"/>
        <color theme="1"/>
        <rFont val="Arial"/>
        <family val="2"/>
      </rPr>
      <t>Additionality Guide</t>
    </r>
    <r>
      <rPr>
        <sz val="11"/>
        <color theme="1"/>
        <rFont val="Arial"/>
        <family val="2"/>
      </rPr>
      <t>. Third edition</t>
    </r>
  </si>
  <si>
    <t xml:space="preserve">The assessment employs ratios calculated using data from the Office of National Statistics on output, employment and gross value added. </t>
  </si>
  <si>
    <t>The data are for the most recent year if that was typical, the average over recent years if the most recent year was unusual, or estimates for the current year.</t>
  </si>
  <si>
    <t>Costs for first year of the assessment.</t>
  </si>
  <si>
    <t>Quantities of environmental goods and services for first year of the assessment.</t>
  </si>
  <si>
    <t>Values and other information</t>
  </si>
  <si>
    <t>A framework is used that considers six types of capital (produced, human, social, natural and financial)</t>
  </si>
  <si>
    <t>Records contributions to maintaining and/or enhancing produced, human, social, natural and financial capital.</t>
  </si>
  <si>
    <t>X G &amp; S Value</t>
  </si>
  <si>
    <t>X Net Asset Value</t>
  </si>
  <si>
    <t>X Economy Contrib</t>
  </si>
  <si>
    <t>Values and Other Information</t>
  </si>
  <si>
    <t>Estimation of Health Benefits</t>
  </si>
  <si>
    <t>Calculation of Contribution to Local &amp; Regional economy</t>
  </si>
  <si>
    <t>Estimates the health benefits of recreational visits by adults. Requires entry of data into an online model.</t>
  </si>
  <si>
    <t>A summary of sheets in the workbook is provided below. Tab labels that start 'X' do not require data entry.</t>
  </si>
  <si>
    <t>Calculates the contribution to employment and gross value added in the local and regional economy.</t>
  </si>
  <si>
    <t>Contributions to maintaining / enhancing capitals</t>
  </si>
  <si>
    <t>Contributions to Maintaining/Enhancing Capitals</t>
  </si>
  <si>
    <t>Assessment of the benefits supported by Shapwick Heath National Nature Reserve.</t>
  </si>
  <si>
    <t>Go to Section 2 to enter data in online tool, which will provide estimates of the health benefits.</t>
  </si>
  <si>
    <t>No more sheets to complete!</t>
  </si>
  <si>
    <t>Welcome to the workbook that assesses the economic benefits supported by Shapwick Heath Nature Reserve (April 2019).</t>
  </si>
  <si>
    <t>Key information for the assessment.</t>
  </si>
  <si>
    <t xml:space="preserve">Sets out the cost of NNR maintenance, improvements and capital investment in the first year of the assessment (which is recorded on the Focus sheet). </t>
  </si>
  <si>
    <t>Exercise</t>
  </si>
  <si>
    <t xml:space="preserve">Note: non-traded carbon values need to be adjusted </t>
  </si>
  <si>
    <t>This workbook should be filled out by an economist or with the help of an economist. It may provide a useful starting point for an assessment for another site, but the calculations and data will need to be altered.</t>
  </si>
  <si>
    <t>Firewood (bags retail- main retailer) £3.50 per bag</t>
  </si>
  <si>
    <t>No. of bags sold retail (approx 0.05m³) (Apr 2016-17)</t>
  </si>
  <si>
    <t xml:space="preserve">No sales as of December 2017 as our previous main retailer has closed down. </t>
  </si>
  <si>
    <t>Our previous main retailer has closed down.</t>
  </si>
  <si>
    <t>(excludes sales through our previous main retailer which has since closed down)</t>
  </si>
  <si>
    <t>National Lottery Heritage Fund website (see below)</t>
  </si>
  <si>
    <r>
      <t xml:space="preserve">Source of weightings: ICF, Sustrans, Cavill Associates and Blue Island Consulting. 2019. </t>
    </r>
    <r>
      <rPr>
        <i/>
        <sz val="12"/>
        <rFont val="Arial"/>
        <family val="2"/>
      </rPr>
      <t>The economic and health impacts of walking on English coastal paths: A baseline study for future evaluation. Baseline Assessment Volume 2.</t>
    </r>
    <r>
      <rPr>
        <sz val="12"/>
        <rFont val="Arial"/>
        <family val="2"/>
      </rPr>
      <t xml:space="preserve"> A report produced for Natural England.</t>
    </r>
  </si>
  <si>
    <t xml:space="preserve">National Lottery Heritage Fund website URL: https://www.heritagefund.org.uk/discussions/how-calculate-volunteer-time [Accessed 22 May 2020] </t>
  </si>
  <si>
    <t xml:space="preserve">Also note that the results under-estimate the health benefits of recreation on the NNR because they do not include the physical and mental health benefits of visits by adults who are not 'active' or visits by children. </t>
  </si>
  <si>
    <t xml:space="preserve">Also note that the results are not estimates of the full health benefits of recreation on the NNR because they do not include the physical and mental health benefits of visits by adults who are not 'active' or visits by children. </t>
  </si>
  <si>
    <r>
      <t xml:space="preserve">ICF, Sustrans, Cavill Associates and Blue Island Consulting. 2019. </t>
    </r>
    <r>
      <rPr>
        <i/>
        <sz val="12"/>
        <color theme="1"/>
        <rFont val="Arial"/>
        <family val="2"/>
      </rPr>
      <t>The economic and health impacts of walking on English coastal paths: A baseline study for future evaluation. Baseline Assessment Volume 2.</t>
    </r>
    <r>
      <rPr>
        <sz val="12"/>
        <color theme="1"/>
        <rFont val="Arial"/>
        <family val="2"/>
      </rPr>
      <t xml:space="preserve"> A report produced for Natural England</t>
    </r>
  </si>
  <si>
    <t>(excludes sales through previous main retailer which has since closed down)</t>
  </si>
  <si>
    <t>The contribution of NNR visitor expenditure is less relevant for the regional economy than the local economy.</t>
  </si>
  <si>
    <t>or more per week ('active visitors') &amp; undertake some exercise in the natural environment.</t>
  </si>
  <si>
    <t>The analysis assumes that 30 minutes of moderate to intense physical activity each week for 52 weeks of a year is associated with 0.010677 Quality Adjusted Life Years (QALYs) and that the relationship is cumulative and linear (Beale and others 2007 in White and others 2016).</t>
  </si>
  <si>
    <t>It employs an economic value of a QALY of £60,0000 (HM Treasury 2018).</t>
  </si>
  <si>
    <t>Assumes that 30 mins of moderate to intense physical activity each week for 52 weeks of a year is associated with 0.010677 Quality Adjusted Life Years (QALYs) and that the relationship is cumulative and linear (Beale and others 2007 in White and others 2016).</t>
  </si>
  <si>
    <t>Employs an economic value of a QALY of £60,0000 (HM Treasury 2018).</t>
  </si>
  <si>
    <t>Participants in community events (that have little or no educational content).</t>
  </si>
  <si>
    <t>People (excluding staff) given training in working on an NNR (including training given as part of work experience).</t>
  </si>
  <si>
    <t xml:space="preserve">Field Studies Council Guide on Shapwick Heath sold via us here at Shapwick. </t>
  </si>
  <si>
    <t xml:space="preserve">Field Studies Council Guide on Shapwick Heath sold via us here at Shapwick or Tourist Information Centre and shops. </t>
  </si>
  <si>
    <t>Benefits to people who volunteer regularly (at least once a month).</t>
  </si>
  <si>
    <t>Deer sales via stalker.</t>
  </si>
  <si>
    <t>Firewood (wholesale bags) £5 per bag.</t>
  </si>
  <si>
    <t>Firewood (bags retail- main retailer) £3.50 per bag.</t>
  </si>
  <si>
    <t>Firewood (bags, retail - other stores) £3.75 per bag.</t>
  </si>
  <si>
    <t>Firewood (1 whole loose loads) £100 per load.</t>
  </si>
  <si>
    <t>Firewood (half a loose load) £50 per load.</t>
  </si>
  <si>
    <t>Firewood (1/3 of a loose load) £40 per load.</t>
  </si>
  <si>
    <t>Firewood (1/4 of a loose load) £25 per load.</t>
  </si>
  <si>
    <t>Net carbon flux.</t>
  </si>
  <si>
    <t>The multiplier for direct, indirect and induced effects that was used was informed by the latest Homes and Communities Additionality Guide (2014). The guide suggests using a composite multiplier of</t>
  </si>
  <si>
    <t>Because the direct employment is based mainly on the NNR / NNR site, it is  assumed that it is located in the local economy.</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</si>
</sst>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quot;£&quot;#,##0"/>
    <numFmt numFmtId="6" formatCode="&quot;£&quot;#,##0;[Red]\-&quot;£&quot;#,##0"/>
    <numFmt numFmtId="8" formatCode="&quot;£&quot;#,##0.00;[Red]\-&quot;£&quot;#,##0.00"/>
    <numFmt numFmtId="43" formatCode="_-* #,##0.00_-;\-* #,##0.00_-;_-* &quot;-&quot;??_-;_-@_-"/>
    <numFmt numFmtId="164" formatCode="0.0"/>
    <numFmt numFmtId="165" formatCode="0.0000"/>
    <numFmt numFmtId="166" formatCode="General;General;&quot;&quot;"/>
    <numFmt numFmtId="167" formatCode="###,###,###,###;\(###,###,###,###\)"/>
    <numFmt numFmtId="168" formatCode="###,###,###,###;\(###,###,###,###\);0"/>
    <numFmt numFmtId="169" formatCode="_-* #,##0_-;\-* #,##0_-;_-* &quot;-&quot;??_-;_-@_-"/>
    <numFmt numFmtId="170" formatCode="###,###,###;###,###,###;\ ;"/>
    <numFmt numFmtId="171" formatCode="###,###,###,###;\(###,###,###,###\);\ ;"/>
    <numFmt numFmtId="172" formatCode="###,###,###,###.00;\(###,###,###,###.00\);0.00"/>
    <numFmt numFmtId="173" formatCode="###,###,###.0;###,###,###.0;\ "/>
    <numFmt numFmtId="174" formatCode="###,###,###.0;###,###,###.0;\ ;\ "/>
    <numFmt numFmtId="175" formatCode="###,###,###,###;###,###,###,###;\ ;"/>
    <numFmt numFmtId="176" formatCode="###,###,###,000;###,###,###,000;\ "/>
    <numFmt numFmtId="177" formatCode="###,###,##0.0;###,###,##0.0;\ ;\ "/>
    <numFmt numFmtId="178" formatCode="#0.0&quot; FTE&quot;;#0.0&quot; FTE&quot;;\ ;\ "/>
    <numFmt numFmtId="179" formatCode="###,###,##0;###,###,##0;\ ;\ "/>
    <numFmt numFmtId="180" formatCode="###,###,##0.00;###,###,##0.00;\ ;\ "/>
    <numFmt numFmtId="181" formatCode="###,###,#00;###,###,#00;\ ;\ "/>
    <numFmt numFmtId="182" formatCode="###,###,###,###.00;###,###,###,###.00;\ "/>
    <numFmt numFmtId="183" formatCode="###,###,###;\-###,###,###;\ ;"/>
    <numFmt numFmtId="184" formatCode="###,###,###;\-###,###,###;0;"/>
    <numFmt numFmtId="185" formatCode="0.0%"/>
    <numFmt numFmtId="186" formatCode="###,###,###.0000;###,###,###.0000;\ ;\ "/>
    <numFmt numFmtId="187" formatCode="###,###,##0.0;###,###,##0.0;0;\ "/>
    <numFmt numFmtId="188" formatCode="###,###,###.00;\-###,###,###.00;\ "/>
    <numFmt numFmtId="189" formatCode="###,###,###,###.000;\(###,###,###,###.000\)"/>
    <numFmt numFmtId="190" formatCode="0.00000000"/>
  </numFmts>
  <fonts count="62"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sz val="11"/>
      <color theme="1"/>
      <name val="Arial"/>
      <family val="2"/>
    </font>
    <font>
      <b/>
      <sz val="11"/>
      <color theme="1"/>
      <name val="Arial"/>
      <family val="2"/>
    </font>
    <font>
      <b/>
      <u/>
      <sz val="12"/>
      <color theme="1"/>
      <name val="Arial"/>
      <family val="2"/>
    </font>
    <font>
      <b/>
      <u/>
      <sz val="11"/>
      <color theme="1"/>
      <name val="Arial"/>
      <family val="2"/>
    </font>
    <font>
      <u/>
      <sz val="12"/>
      <color theme="10"/>
      <name val="Arial"/>
      <family val="2"/>
    </font>
    <font>
      <u/>
      <sz val="11"/>
      <color theme="10"/>
      <name val="Arial"/>
      <family val="2"/>
    </font>
    <font>
      <i/>
      <sz val="11"/>
      <color theme="1"/>
      <name val="Arial"/>
      <family val="2"/>
    </font>
    <font>
      <b/>
      <i/>
      <sz val="11"/>
      <color theme="1"/>
      <name val="Arial"/>
      <family val="2"/>
    </font>
    <font>
      <sz val="12"/>
      <color theme="1"/>
      <name val="Arial"/>
      <family val="2"/>
    </font>
    <font>
      <sz val="11"/>
      <name val="Arial"/>
      <family val="2"/>
    </font>
    <font>
      <b/>
      <u/>
      <sz val="14"/>
      <color theme="1"/>
      <name val="Arial"/>
      <family val="2"/>
    </font>
    <font>
      <sz val="11"/>
      <color rgb="FF000000"/>
      <name val="Arial"/>
      <family val="2"/>
    </font>
    <font>
      <i/>
      <sz val="11"/>
      <name val="Arial"/>
      <family val="2"/>
    </font>
    <font>
      <b/>
      <sz val="14"/>
      <color rgb="FF0070C0"/>
      <name val="Arial"/>
      <family val="2"/>
    </font>
    <font>
      <i/>
      <u/>
      <sz val="12"/>
      <color rgb="FF008000"/>
      <name val="Arial"/>
      <family val="2"/>
    </font>
    <font>
      <i/>
      <u/>
      <sz val="12"/>
      <color rgb="FF003399"/>
      <name val="Arial"/>
      <family val="2"/>
    </font>
    <font>
      <i/>
      <u/>
      <sz val="12"/>
      <color rgb="FF000099"/>
      <name val="Arial"/>
      <family val="2"/>
    </font>
    <font>
      <i/>
      <sz val="12"/>
      <color rgb="FF003399"/>
      <name val="Arial"/>
      <family val="2"/>
    </font>
    <font>
      <i/>
      <sz val="11"/>
      <color rgb="FF003399"/>
      <name val="Arial"/>
      <family val="2"/>
    </font>
    <font>
      <i/>
      <sz val="12"/>
      <color rgb="FF008000"/>
      <name val="Arial"/>
      <family val="2"/>
    </font>
    <font>
      <sz val="10"/>
      <color theme="1"/>
      <name val="Arial"/>
      <family val="2"/>
    </font>
    <font>
      <b/>
      <sz val="11"/>
      <color rgb="FF006600"/>
      <name val="Arial"/>
      <family val="2"/>
    </font>
    <font>
      <sz val="11"/>
      <color rgb="FF808080"/>
      <name val="Arial"/>
      <family val="2"/>
    </font>
    <font>
      <sz val="12"/>
      <name val="Arial"/>
      <family val="2"/>
    </font>
    <font>
      <i/>
      <sz val="12"/>
      <color rgb="FFFF0000"/>
      <name val="Arial"/>
      <family val="2"/>
    </font>
    <font>
      <b/>
      <sz val="12"/>
      <name val="Arial"/>
      <family val="2"/>
    </font>
    <font>
      <i/>
      <sz val="11"/>
      <color rgb="FFFF0000"/>
      <name val="Arial"/>
      <family val="2"/>
    </font>
    <font>
      <b/>
      <u/>
      <sz val="11"/>
      <color rgb="FF000000"/>
      <name val="Arial"/>
      <family val="2"/>
    </font>
    <font>
      <b/>
      <sz val="11"/>
      <color rgb="FF000000"/>
      <name val="Arial"/>
      <family val="2"/>
    </font>
    <font>
      <sz val="10"/>
      <color rgb="FF000000"/>
      <name val="Arial"/>
      <family val="2"/>
    </font>
    <font>
      <i/>
      <u/>
      <sz val="11"/>
      <color rgb="FF003399"/>
      <name val="Arial"/>
      <family val="2"/>
    </font>
    <font>
      <vertAlign val="subscript"/>
      <sz val="11"/>
      <color theme="1"/>
      <name val="Arial"/>
      <family val="2"/>
    </font>
    <font>
      <b/>
      <sz val="14"/>
      <color theme="1"/>
      <name val="Arial"/>
      <family val="2"/>
    </font>
    <font>
      <u/>
      <sz val="12"/>
      <color theme="1"/>
      <name val="Arial"/>
      <family val="2"/>
    </font>
    <font>
      <sz val="11"/>
      <color theme="5" tint="0.59999389629810485"/>
      <name val="Calibri"/>
      <family val="2"/>
      <scheme val="minor"/>
    </font>
    <font>
      <sz val="11"/>
      <color theme="9" tint="0.79998168889431442"/>
      <name val="Calibri"/>
      <family val="2"/>
      <scheme val="minor"/>
    </font>
    <font>
      <i/>
      <sz val="12"/>
      <color theme="1"/>
      <name val="Arial"/>
      <family val="2"/>
    </font>
    <font>
      <b/>
      <sz val="12"/>
      <color rgb="FF000000"/>
      <name val="Arial"/>
      <family val="2"/>
    </font>
    <font>
      <sz val="11.5"/>
      <color rgb="FF000000"/>
      <name val="Arial"/>
      <family val="2"/>
    </font>
    <font>
      <i/>
      <sz val="11.5"/>
      <color rgb="FF000000"/>
      <name val="Arial"/>
      <family val="2"/>
    </font>
    <font>
      <sz val="11"/>
      <color theme="1"/>
      <name val="Calibri"/>
      <family val="2"/>
    </font>
    <font>
      <sz val="12"/>
      <color rgb="FFFF0000"/>
      <name val="Arial"/>
      <family val="2"/>
    </font>
    <font>
      <b/>
      <i/>
      <sz val="12"/>
      <color theme="1"/>
      <name val="Arial"/>
      <family val="2"/>
    </font>
    <font>
      <b/>
      <sz val="12"/>
      <color rgb="FFFF0000"/>
      <name val="Arial"/>
      <family val="2"/>
    </font>
    <font>
      <u/>
      <sz val="12"/>
      <color rgb="FF0070C0"/>
      <name val="Arial"/>
      <family val="2"/>
    </font>
    <font>
      <sz val="12"/>
      <color theme="9" tint="-0.249977111117893"/>
      <name val="Arial"/>
      <family val="2"/>
    </font>
    <font>
      <sz val="11"/>
      <color theme="9" tint="-0.249977111117893"/>
      <name val="Arial"/>
      <family val="2"/>
    </font>
    <font>
      <i/>
      <u/>
      <sz val="12"/>
      <color rgb="FF0070C0"/>
      <name val="Arial"/>
      <family val="2"/>
    </font>
    <font>
      <sz val="12"/>
      <color rgb="FF000000"/>
      <name val="Arial"/>
      <family val="2"/>
    </font>
    <font>
      <sz val="12"/>
      <color theme="9" tint="-0.499984740745262"/>
      <name val="Arial"/>
      <family val="2"/>
    </font>
    <font>
      <sz val="11"/>
      <color theme="9" tint="-0.499984740745262"/>
      <name val="Arial"/>
      <family val="2"/>
    </font>
    <font>
      <u/>
      <sz val="11"/>
      <color theme="1"/>
      <name val="Arial"/>
      <family val="2"/>
    </font>
    <font>
      <sz val="12"/>
      <color theme="0" tint="-0.499984740745262"/>
      <name val="Arial"/>
      <family val="2"/>
    </font>
    <font>
      <b/>
      <i/>
      <sz val="11"/>
      <name val="Arial"/>
      <family val="2"/>
    </font>
    <font>
      <sz val="11"/>
      <color rgb="FFFF0000"/>
      <name val="Arial"/>
      <family val="2"/>
    </font>
    <font>
      <b/>
      <sz val="11"/>
      <name val="Arial"/>
      <family val="2"/>
    </font>
    <font>
      <u/>
      <sz val="11"/>
      <color rgb="FF003399"/>
      <name val="Arial"/>
      <family val="2"/>
    </font>
    <font>
      <i/>
      <sz val="12"/>
      <name val="Arial"/>
      <family val="2"/>
    </font>
  </fonts>
  <fills count="34">
    <fill>
      <patternFill patternType="none"/>
    </fill>
    <fill>
      <patternFill patternType="gray125"/>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rgb="FF9966FF"/>
        <bgColor indexed="64"/>
      </patternFill>
    </fill>
    <fill>
      <patternFill patternType="solid">
        <fgColor rgb="FFFFCC00"/>
        <bgColor indexed="64"/>
      </patternFill>
    </fill>
    <fill>
      <patternFill patternType="solid">
        <fgColor rgb="FF33CC33"/>
        <bgColor indexed="64"/>
      </patternFill>
    </fill>
    <fill>
      <patternFill patternType="solid">
        <fgColor theme="5" tint="0.79998168889431442"/>
        <bgColor indexed="64"/>
      </patternFill>
    </fill>
    <fill>
      <patternFill patternType="solid">
        <fgColor rgb="FFFFFF99"/>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gray0625">
        <fgColor theme="0" tint="-0.24994659260841701"/>
        <bgColor theme="0" tint="-4.9989318521683403E-2"/>
      </patternFill>
    </fill>
    <fill>
      <patternFill patternType="gray0625">
        <fgColor theme="0" tint="-0.24994659260841701"/>
        <bgColor rgb="FFFFCC00"/>
      </patternFill>
    </fill>
    <fill>
      <patternFill patternType="gray0625">
        <fgColor theme="0" tint="-0.24994659260841701"/>
        <bgColor rgb="FF33CC33"/>
      </patternFill>
    </fill>
    <fill>
      <patternFill patternType="gray0625">
        <fgColor theme="0" tint="-0.24994659260841701"/>
        <bgColor rgb="FF9966FF"/>
      </patternFill>
    </fill>
    <fill>
      <patternFill patternType="solid">
        <fgColor rgb="FFFDE9D9"/>
        <bgColor indexed="64"/>
      </patternFill>
    </fill>
    <fill>
      <patternFill patternType="solid">
        <fgColor rgb="FFEAF1DD"/>
        <bgColor indexed="64"/>
      </patternFill>
    </fill>
    <fill>
      <patternFill patternType="solid">
        <fgColor rgb="FFF2DBDB"/>
        <bgColor indexed="64"/>
      </patternFill>
    </fill>
    <fill>
      <patternFill patternType="solid">
        <fgColor rgb="FFF2F2F2"/>
        <bgColor indexed="64"/>
      </patternFill>
    </fill>
    <fill>
      <patternFill patternType="solid">
        <fgColor rgb="FFE4DFEC"/>
        <bgColor rgb="FF000000"/>
      </patternFill>
    </fill>
    <fill>
      <patternFill patternType="solid">
        <fgColor rgb="FFE4DFEC"/>
        <bgColor indexed="64"/>
      </patternFill>
    </fill>
    <fill>
      <patternFill patternType="solid">
        <fgColor rgb="FFF5F2F8"/>
        <bgColor indexed="64"/>
      </patternFill>
    </fill>
    <fill>
      <patternFill patternType="solid">
        <fgColor rgb="FFF5F2F8"/>
        <bgColor rgb="FF000000"/>
      </patternFill>
    </fill>
    <fill>
      <patternFill patternType="solid">
        <fgColor rgb="FFC3E3EB"/>
        <bgColor indexed="64"/>
      </patternFill>
    </fill>
    <fill>
      <patternFill patternType="solid">
        <fgColor rgb="FFEBF6F9"/>
        <bgColor indexed="64"/>
      </patternFill>
    </fill>
    <fill>
      <patternFill patternType="gray0625">
        <fgColor theme="0" tint="-0.24994659260841701"/>
        <bgColor theme="5" tint="0.79998168889431442"/>
      </patternFill>
    </fill>
    <fill>
      <patternFill patternType="solid">
        <fgColor rgb="FFFDE9D9"/>
        <bgColor rgb="FF000000"/>
      </patternFill>
    </fill>
    <fill>
      <patternFill patternType="solid">
        <fgColor rgb="FFFFE9BD"/>
        <bgColor indexed="64"/>
      </patternFill>
    </fill>
    <fill>
      <patternFill patternType="solid">
        <fgColor theme="5" tint="0.79995117038483843"/>
        <bgColor indexed="64"/>
      </patternFill>
    </fill>
    <fill>
      <patternFill patternType="solid">
        <fgColor theme="5" tint="0.79995117038483843"/>
        <bgColor theme="0" tint="-0.24994659260841701"/>
      </patternFill>
    </fill>
    <fill>
      <patternFill patternType="gray0625">
        <fgColor theme="0" tint="-0.24994659260841701"/>
        <bgColor theme="5" tint="0.79995117038483843"/>
      </patternFill>
    </fill>
    <fill>
      <patternFill patternType="solid">
        <fgColor theme="2"/>
        <bgColor indexed="64"/>
      </patternFill>
    </fill>
    <fill>
      <patternFill patternType="solid">
        <fgColor theme="2"/>
        <bgColor theme="0" tint="-0.24994659260841701"/>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theme="0" tint="-0.34998626667073579"/>
      </top>
      <bottom/>
      <diagonal/>
    </border>
    <border>
      <left/>
      <right/>
      <top/>
      <bottom style="thin">
        <color theme="0" tint="-0.34998626667073579"/>
      </bottom>
      <diagonal/>
    </border>
    <border>
      <left style="thin">
        <color auto="1"/>
      </left>
      <right/>
      <top style="thin">
        <color auto="1"/>
      </top>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auto="1"/>
      </left>
      <right/>
      <top style="thin">
        <color theme="0" tint="-0.34998626667073579"/>
      </top>
      <bottom/>
      <diagonal/>
    </border>
    <border>
      <left/>
      <right/>
      <top style="thin">
        <color theme="0" tint="-0.24994659260841701"/>
      </top>
      <bottom style="thin">
        <color theme="0" tint="-0.34998626667073579"/>
      </bottom>
      <diagonal/>
    </border>
    <border>
      <left style="thin">
        <color theme="0" tint="-0.24994659260841701"/>
      </left>
      <right style="thin">
        <color auto="1"/>
      </right>
      <top/>
      <bottom/>
      <diagonal/>
    </border>
    <border>
      <left style="thin">
        <color theme="0" tint="-0.24994659260841701"/>
      </left>
      <right style="thin">
        <color auto="1"/>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thin">
        <color auto="1"/>
      </bottom>
      <diagonal/>
    </border>
    <border>
      <left/>
      <right/>
      <top/>
      <bottom style="thin">
        <color theme="0" tint="-0.14996795556505021"/>
      </bottom>
      <diagonal/>
    </border>
    <border>
      <left/>
      <right style="thin">
        <color auto="1"/>
      </right>
      <top/>
      <bottom style="thin">
        <color theme="0" tint="-0.14996795556505021"/>
      </bottom>
      <diagonal/>
    </border>
    <border>
      <left style="thin">
        <color theme="0" tint="-0.34998626667073579"/>
      </left>
      <right/>
      <top/>
      <bottom style="thin">
        <color auto="1"/>
      </bottom>
      <diagonal/>
    </border>
    <border>
      <left style="thin">
        <color theme="0" tint="-0.34998626667073579"/>
      </left>
      <right/>
      <top/>
      <bottom/>
      <diagonal/>
    </border>
    <border>
      <left/>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style="thin">
        <color auto="1"/>
      </left>
      <right/>
      <top style="thin">
        <color theme="0" tint="-0.34998626667073579"/>
      </top>
      <bottom style="thin">
        <color auto="1"/>
      </bottom>
      <diagonal/>
    </border>
    <border>
      <left/>
      <right style="thin">
        <color auto="1"/>
      </right>
      <top style="thin">
        <color auto="1"/>
      </top>
      <bottom style="thin">
        <color theme="0" tint="-0.34998626667073579"/>
      </bottom>
      <diagonal/>
    </border>
    <border>
      <left/>
      <right style="thin">
        <color auto="1"/>
      </right>
      <top style="thin">
        <color theme="0" tint="-0.34998626667073579"/>
      </top>
      <bottom style="thin">
        <color auto="1"/>
      </bottom>
      <diagonal/>
    </border>
    <border>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diagonal/>
    </border>
    <border>
      <left style="thin">
        <color auto="1"/>
      </left>
      <right/>
      <top style="thin">
        <color theme="0" tint="-0.14996795556505021"/>
      </top>
      <bottom/>
      <diagonal/>
    </border>
    <border>
      <left/>
      <right style="thin">
        <color auto="1"/>
      </right>
      <top style="thin">
        <color theme="0" tint="-0.14996795556505021"/>
      </top>
      <bottom/>
      <diagonal/>
    </border>
    <border>
      <left style="thin">
        <color auto="1"/>
      </left>
      <right/>
      <top/>
      <bottom style="thin">
        <color theme="0" tint="-0.14996795556505021"/>
      </bottom>
      <diagonal/>
    </border>
    <border>
      <left style="thin">
        <color auto="1"/>
      </left>
      <right style="thin">
        <color auto="1"/>
      </right>
      <top style="thin">
        <color theme="0" tint="-0.34998626667073579"/>
      </top>
      <bottom style="thin">
        <color auto="1"/>
      </bottom>
      <diagonal/>
    </border>
    <border>
      <left/>
      <right style="thin">
        <color auto="1"/>
      </right>
      <top style="thin">
        <color theme="0" tint="-0.34998626667073579"/>
      </top>
      <bottom/>
      <diagonal/>
    </border>
    <border>
      <left style="thin">
        <color auto="1"/>
      </left>
      <right style="thin">
        <color auto="1"/>
      </right>
      <top style="thin">
        <color auto="1"/>
      </top>
      <bottom/>
      <diagonal/>
    </border>
    <border>
      <left/>
      <right/>
      <top/>
      <bottom style="thin">
        <color rgb="FFA6A6A6"/>
      </bottom>
      <diagonal/>
    </border>
    <border>
      <left/>
      <right/>
      <top style="thin">
        <color rgb="FFA6A6A6"/>
      </top>
      <bottom style="thin">
        <color rgb="FFA6A6A6"/>
      </bottom>
      <diagonal/>
    </border>
    <border>
      <left/>
      <right/>
      <top style="thin">
        <color rgb="FFA6A6A6"/>
      </top>
      <bottom/>
      <diagonal/>
    </border>
    <border>
      <left/>
      <right/>
      <top style="thin">
        <color rgb="FFA6A6A6"/>
      </top>
      <bottom style="thin">
        <color auto="1"/>
      </bottom>
      <diagonal/>
    </border>
    <border>
      <left style="thin">
        <color theme="0" tint="-0.34998626667073579"/>
      </left>
      <right/>
      <top style="thin">
        <color theme="0" tint="-0.34998626667073579"/>
      </top>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diagonal/>
    </border>
    <border>
      <left style="thin">
        <color auto="1"/>
      </left>
      <right/>
      <top/>
      <bottom style="thin">
        <color theme="0" tint="-0.34998626667073579"/>
      </bottom>
      <diagonal/>
    </border>
    <border>
      <left style="thin">
        <color auto="1"/>
      </left>
      <right style="thin">
        <color theme="0" tint="-0.24994659260841701"/>
      </right>
      <top style="thin">
        <color auto="1"/>
      </top>
      <bottom/>
      <diagonal/>
    </border>
    <border>
      <left style="thin">
        <color theme="0" tint="-0.24994659260841701"/>
      </left>
      <right style="thin">
        <color auto="1"/>
      </right>
      <top style="thin">
        <color auto="1"/>
      </top>
      <bottom/>
      <diagonal/>
    </border>
  </borders>
  <cellStyleXfs count="6">
    <xf numFmtId="0" fontId="0" fillId="0" borderId="0"/>
    <xf numFmtId="0" fontId="8" fillId="0" borderId="0" applyNumberForma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2" fillId="0" borderId="0"/>
    <xf numFmtId="0" fontId="1" fillId="0" borderId="0"/>
  </cellStyleXfs>
  <cellXfs count="1305">
    <xf numFmtId="0" fontId="0" fillId="0" borderId="0" xfId="0"/>
    <xf numFmtId="0" fontId="4" fillId="0" borderId="0" xfId="0" applyFont="1" applyFill="1" applyAlignment="1">
      <alignment horizontal="left" vertical="top" wrapText="1"/>
    </xf>
    <xf numFmtId="49" fontId="4" fillId="0" borderId="0" xfId="0" quotePrefix="1" applyNumberFormat="1" applyFont="1" applyFill="1" applyAlignment="1">
      <alignment horizontal="left" vertical="top" wrapText="1"/>
    </xf>
    <xf numFmtId="0" fontId="4" fillId="8" borderId="0" xfId="0" applyFont="1" applyFill="1" applyAlignment="1">
      <alignment horizontal="left" vertical="top" wrapText="1"/>
    </xf>
    <xf numFmtId="0" fontId="6" fillId="8" borderId="0" xfId="0" applyFont="1" applyFill="1" applyAlignment="1">
      <alignment horizontal="left" vertical="top"/>
    </xf>
    <xf numFmtId="0" fontId="5" fillId="8" borderId="0" xfId="0" applyFont="1" applyFill="1" applyAlignment="1">
      <alignment horizontal="left" vertical="top" wrapText="1"/>
    </xf>
    <xf numFmtId="0" fontId="4" fillId="11" borderId="0" xfId="0" applyFont="1" applyFill="1"/>
    <xf numFmtId="0" fontId="6" fillId="11" borderId="0" xfId="0" applyFont="1" applyFill="1"/>
    <xf numFmtId="0" fontId="5" fillId="11" borderId="0" xfId="0" applyFont="1" applyFill="1"/>
    <xf numFmtId="0" fontId="4" fillId="11" borderId="0" xfId="0" applyFont="1" applyFill="1" applyAlignment="1">
      <alignment horizontal="right"/>
    </xf>
    <xf numFmtId="49" fontId="4" fillId="11" borderId="0" xfId="0" applyNumberFormat="1" applyFont="1" applyFill="1"/>
    <xf numFmtId="0" fontId="4" fillId="11" borderId="0" xfId="0" applyFont="1" applyFill="1" applyProtection="1"/>
    <xf numFmtId="166" fontId="17" fillId="11" borderId="0" xfId="0" applyNumberFormat="1" applyFont="1" applyFill="1"/>
    <xf numFmtId="167" fontId="4" fillId="11" borderId="0" xfId="0" applyNumberFormat="1" applyFont="1" applyFill="1" applyAlignment="1" applyProtection="1">
      <alignment horizontal="right" vertical="top"/>
    </xf>
    <xf numFmtId="0" fontId="4" fillId="11" borderId="3" xfId="0" applyFont="1" applyFill="1" applyBorder="1" applyAlignment="1">
      <alignment horizontal="center"/>
    </xf>
    <xf numFmtId="0" fontId="4" fillId="11" borderId="2" xfId="0" applyFont="1" applyFill="1" applyBorder="1" applyAlignment="1">
      <alignment horizontal="center"/>
    </xf>
    <xf numFmtId="0" fontId="4" fillId="11" borderId="21" xfId="0" applyFont="1" applyFill="1" applyBorder="1" applyAlignment="1">
      <alignment horizontal="center"/>
    </xf>
    <xf numFmtId="0" fontId="4" fillId="9" borderId="0" xfId="0" applyFont="1" applyFill="1" applyProtection="1"/>
    <xf numFmtId="0" fontId="6" fillId="9" borderId="0" xfId="0" applyFont="1" applyFill="1" applyProtection="1"/>
    <xf numFmtId="0" fontId="5" fillId="9" borderId="0" xfId="0" applyFont="1" applyFill="1" applyAlignment="1" applyProtection="1">
      <alignment horizontal="left"/>
    </xf>
    <xf numFmtId="0" fontId="4" fillId="9" borderId="0" xfId="0" applyFont="1" applyFill="1" applyAlignment="1" applyProtection="1">
      <alignment horizontal="left"/>
    </xf>
    <xf numFmtId="0" fontId="4" fillId="9" borderId="0" xfId="0" quotePrefix="1" applyFont="1" applyFill="1" applyAlignment="1" applyProtection="1">
      <alignment horizontal="left" wrapText="1" indent="1"/>
    </xf>
    <xf numFmtId="0" fontId="4" fillId="9" borderId="0" xfId="0" applyFont="1" applyFill="1" applyAlignment="1" applyProtection="1">
      <alignment horizontal="left" vertical="top"/>
    </xf>
    <xf numFmtId="0" fontId="4" fillId="9" borderId="0" xfId="0" quotePrefix="1" applyFont="1" applyFill="1" applyAlignment="1" applyProtection="1">
      <alignment horizontal="left" vertical="top"/>
    </xf>
    <xf numFmtId="0" fontId="4" fillId="2" borderId="0" xfId="0" applyFont="1" applyFill="1" applyProtection="1"/>
    <xf numFmtId="0" fontId="4" fillId="3" borderId="0" xfId="0" applyFont="1" applyFill="1" applyProtection="1"/>
    <xf numFmtId="0" fontId="6" fillId="3" borderId="0" xfId="0" applyFont="1" applyFill="1" applyAlignment="1" applyProtection="1"/>
    <xf numFmtId="0" fontId="4" fillId="3" borderId="0" xfId="0" applyFont="1" applyFill="1" applyAlignment="1" applyProtection="1"/>
    <xf numFmtId="0" fontId="4" fillId="3" borderId="0" xfId="0" applyFont="1" applyFill="1" applyAlignment="1" applyProtection="1">
      <alignment horizontal="right"/>
    </xf>
    <xf numFmtId="49" fontId="4" fillId="3" borderId="0" xfId="0" applyNumberFormat="1" applyFont="1" applyFill="1" applyAlignment="1" applyProtection="1"/>
    <xf numFmtId="0" fontId="4" fillId="3" borderId="4" xfId="0" applyFont="1" applyFill="1" applyBorder="1" applyProtection="1"/>
    <xf numFmtId="0" fontId="4" fillId="3" borderId="0" xfId="0" applyFont="1" applyFill="1" applyBorder="1" applyProtection="1"/>
    <xf numFmtId="0" fontId="5" fillId="3" borderId="2" xfId="0" quotePrefix="1" applyFont="1" applyFill="1" applyBorder="1" applyProtection="1"/>
    <xf numFmtId="0" fontId="5" fillId="3" borderId="5" xfId="0" applyFont="1" applyFill="1" applyBorder="1" applyAlignment="1" applyProtection="1">
      <alignment horizontal="left" wrapText="1"/>
    </xf>
    <xf numFmtId="0" fontId="5" fillId="3" borderId="5" xfId="0" quotePrefix="1" applyFont="1" applyFill="1" applyBorder="1" applyAlignment="1" applyProtection="1">
      <alignment wrapText="1"/>
    </xf>
    <xf numFmtId="0" fontId="5" fillId="3" borderId="6" xfId="0" quotePrefix="1" applyFont="1" applyFill="1" applyBorder="1" applyAlignment="1" applyProtection="1">
      <alignment wrapText="1"/>
    </xf>
    <xf numFmtId="0" fontId="5" fillId="3" borderId="0" xfId="0" applyFont="1" applyFill="1" applyProtection="1"/>
    <xf numFmtId="0" fontId="4" fillId="0" borderId="4"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2" xfId="0" applyFont="1" applyFill="1" applyBorder="1" applyAlignment="1" applyProtection="1">
      <alignment vertical="top" wrapText="1"/>
    </xf>
    <xf numFmtId="0" fontId="4" fillId="0" borderId="5" xfId="0" applyFont="1" applyFill="1" applyBorder="1" applyAlignment="1" applyProtection="1">
      <alignment vertical="top" wrapText="1"/>
    </xf>
    <xf numFmtId="0" fontId="4" fillId="0" borderId="6" xfId="0" applyFont="1" applyFill="1" applyBorder="1" applyAlignment="1" applyProtection="1">
      <alignment vertical="top" wrapText="1"/>
    </xf>
    <xf numFmtId="0" fontId="5" fillId="5" borderId="9" xfId="0" quotePrefix="1" applyFont="1" applyFill="1" applyBorder="1" applyAlignment="1" applyProtection="1">
      <alignment wrapText="1"/>
    </xf>
    <xf numFmtId="0" fontId="5" fillId="5" borderId="0" xfId="0" applyFont="1" applyFill="1" applyBorder="1" applyAlignment="1" applyProtection="1">
      <alignment wrapText="1"/>
    </xf>
    <xf numFmtId="0" fontId="4" fillId="0" borderId="0" xfId="0" applyFont="1" applyFill="1" applyAlignment="1" applyProtection="1">
      <alignment vertical="top" wrapText="1"/>
    </xf>
    <xf numFmtId="0" fontId="14" fillId="7" borderId="0" xfId="0" applyFont="1" applyFill="1" applyProtection="1"/>
    <xf numFmtId="0" fontId="0" fillId="7" borderId="0" xfId="0" applyFill="1" applyProtection="1"/>
    <xf numFmtId="0" fontId="0" fillId="7" borderId="0" xfId="0" applyFill="1" applyAlignment="1" applyProtection="1">
      <alignment horizontal="right"/>
    </xf>
    <xf numFmtId="0" fontId="6" fillId="7" borderId="0" xfId="0" applyFont="1" applyFill="1" applyProtection="1"/>
    <xf numFmtId="0" fontId="0" fillId="7" borderId="0" xfId="0" applyFont="1" applyFill="1" applyProtection="1"/>
    <xf numFmtId="0" fontId="0" fillId="7" borderId="0" xfId="0" applyFill="1" applyBorder="1" applyProtection="1"/>
    <xf numFmtId="0" fontId="4" fillId="7" borderId="6" xfId="0" applyFont="1" applyFill="1" applyBorder="1" applyAlignment="1" applyProtection="1">
      <alignment wrapText="1"/>
    </xf>
    <xf numFmtId="0" fontId="17" fillId="11" borderId="0" xfId="0" applyFont="1" applyFill="1" applyProtection="1"/>
    <xf numFmtId="0" fontId="6" fillId="11" borderId="0" xfId="0" applyFont="1" applyFill="1" applyProtection="1"/>
    <xf numFmtId="49" fontId="4" fillId="11" borderId="0" xfId="0" applyNumberFormat="1" applyFont="1" applyFill="1" applyAlignment="1" applyProtection="1"/>
    <xf numFmtId="0" fontId="4" fillId="11" borderId="0" xfId="0" applyFont="1" applyFill="1" applyAlignment="1" applyProtection="1">
      <alignment horizontal="right"/>
    </xf>
    <xf numFmtId="0" fontId="5" fillId="11" borderId="6" xfId="0" applyFont="1" applyFill="1" applyBorder="1" applyAlignment="1" applyProtection="1">
      <alignment wrapText="1"/>
    </xf>
    <xf numFmtId="166" fontId="5" fillId="12" borderId="2" xfId="0" quotePrefix="1" applyNumberFormat="1" applyFont="1" applyFill="1" applyBorder="1" applyAlignment="1" applyProtection="1">
      <alignment wrapText="1"/>
    </xf>
    <xf numFmtId="0" fontId="5" fillId="12" borderId="9" xfId="0" applyFont="1" applyFill="1" applyBorder="1" applyAlignment="1" applyProtection="1">
      <alignment horizontal="right"/>
    </xf>
    <xf numFmtId="0" fontId="5" fillId="12" borderId="0" xfId="0" applyFont="1" applyFill="1" applyBorder="1" applyProtection="1"/>
    <xf numFmtId="166" fontId="4" fillId="11" borderId="2" xfId="0" applyNumberFormat="1" applyFont="1" applyFill="1" applyBorder="1" applyAlignment="1" applyProtection="1">
      <alignment vertical="top" wrapText="1"/>
    </xf>
    <xf numFmtId="166" fontId="5" fillId="13" borderId="2" xfId="0" applyNumberFormat="1" applyFont="1" applyFill="1" applyBorder="1" applyAlignment="1" applyProtection="1">
      <alignment vertical="top" wrapText="1"/>
    </xf>
    <xf numFmtId="167" fontId="4" fillId="13" borderId="0" xfId="0" applyNumberFormat="1" applyFont="1" applyFill="1" applyAlignment="1" applyProtection="1">
      <alignment horizontal="right" vertical="top"/>
    </xf>
    <xf numFmtId="166" fontId="5" fillId="14" borderId="2" xfId="0" applyNumberFormat="1" applyFont="1" applyFill="1" applyBorder="1" applyAlignment="1" applyProtection="1">
      <alignment vertical="top" wrapText="1"/>
    </xf>
    <xf numFmtId="167" fontId="4" fillId="14" borderId="0" xfId="0" applyNumberFormat="1" applyFont="1" applyFill="1" applyAlignment="1" applyProtection="1">
      <alignment horizontal="right" vertical="top"/>
    </xf>
    <xf numFmtId="0" fontId="10" fillId="11" borderId="13" xfId="0" applyFont="1" applyFill="1" applyBorder="1" applyAlignment="1" applyProtection="1"/>
    <xf numFmtId="167" fontId="4" fillId="11" borderId="9" xfId="0" applyNumberFormat="1" applyFont="1" applyFill="1" applyBorder="1" applyAlignment="1" applyProtection="1"/>
    <xf numFmtId="0" fontId="4" fillId="11" borderId="0" xfId="0" applyFont="1" applyFill="1" applyAlignment="1" applyProtection="1">
      <alignment horizontal="left"/>
    </xf>
    <xf numFmtId="0" fontId="5" fillId="11" borderId="0" xfId="0" applyFont="1" applyFill="1" applyAlignment="1" applyProtection="1"/>
    <xf numFmtId="166" fontId="0" fillId="7" borderId="0" xfId="0" applyNumberFormat="1" applyFill="1" applyAlignment="1" applyProtection="1">
      <alignment horizontal="left"/>
    </xf>
    <xf numFmtId="166" fontId="4" fillId="3" borderId="0" xfId="0" applyNumberFormat="1" applyFont="1" applyFill="1" applyAlignment="1" applyProtection="1">
      <alignment horizontal="left"/>
    </xf>
    <xf numFmtId="166" fontId="4" fillId="11" borderId="0" xfId="0" applyNumberFormat="1" applyFont="1" applyFill="1" applyAlignment="1" applyProtection="1">
      <alignment horizontal="left"/>
    </xf>
    <xf numFmtId="0" fontId="4" fillId="0" borderId="0"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vertical="top" wrapText="1"/>
      <protection locked="0"/>
    </xf>
    <xf numFmtId="0" fontId="0" fillId="0" borderId="0" xfId="0" applyFill="1" applyAlignment="1" applyProtection="1">
      <alignment horizontal="left" wrapText="1"/>
      <protection locked="0"/>
    </xf>
    <xf numFmtId="0" fontId="4" fillId="6" borderId="0" xfId="0" applyFont="1" applyFill="1" applyBorder="1" applyAlignment="1" applyProtection="1">
      <alignment vertical="top" wrapText="1"/>
      <protection locked="0"/>
    </xf>
    <xf numFmtId="167" fontId="4" fillId="6" borderId="0" xfId="0" applyNumberFormat="1" applyFont="1" applyFill="1" applyBorder="1" applyAlignment="1" applyProtection="1">
      <alignment horizontal="right" vertical="top" wrapText="1"/>
      <protection locked="0"/>
    </xf>
    <xf numFmtId="166" fontId="5" fillId="4" borderId="0" xfId="0" applyNumberFormat="1" applyFont="1" applyFill="1" applyBorder="1" applyAlignment="1" applyProtection="1">
      <alignment vertical="top" wrapText="1"/>
      <protection locked="0"/>
    </xf>
    <xf numFmtId="0" fontId="4" fillId="4" borderId="0" xfId="0" applyFont="1" applyFill="1" applyBorder="1" applyAlignment="1" applyProtection="1">
      <alignment vertical="top" wrapText="1"/>
      <protection locked="0"/>
    </xf>
    <xf numFmtId="167" fontId="4" fillId="4" borderId="0" xfId="0" applyNumberFormat="1" applyFont="1" applyFill="1" applyBorder="1" applyAlignment="1" applyProtection="1">
      <alignment horizontal="right" vertical="top" wrapText="1"/>
      <protection locked="0"/>
    </xf>
    <xf numFmtId="0" fontId="0" fillId="0" borderId="0" xfId="0" applyAlignment="1">
      <alignment vertical="center"/>
    </xf>
    <xf numFmtId="0" fontId="5" fillId="3" borderId="0" xfId="0" applyFont="1" applyFill="1" applyAlignment="1" applyProtection="1"/>
    <xf numFmtId="0" fontId="5" fillId="9" borderId="0" xfId="0" applyFont="1" applyFill="1" applyProtection="1"/>
    <xf numFmtId="0" fontId="5" fillId="3" borderId="0" xfId="0" applyFont="1" applyFill="1" applyBorder="1" applyAlignment="1" applyProtection="1">
      <alignment horizontal="left" wrapText="1"/>
    </xf>
    <xf numFmtId="0" fontId="5" fillId="3" borderId="0" xfId="0" quotePrefix="1" applyFont="1" applyFill="1" applyBorder="1" applyAlignment="1" applyProtection="1">
      <alignment wrapText="1"/>
    </xf>
    <xf numFmtId="0" fontId="5" fillId="3" borderId="2" xfId="0" quotePrefix="1" applyFont="1" applyFill="1" applyBorder="1" applyAlignment="1" applyProtection="1">
      <alignment wrapText="1"/>
    </xf>
    <xf numFmtId="0" fontId="4" fillId="3" borderId="2" xfId="0" applyFont="1" applyFill="1" applyBorder="1" applyProtection="1"/>
    <xf numFmtId="0" fontId="5" fillId="3" borderId="6" xfId="0" applyFont="1" applyFill="1" applyBorder="1" applyAlignment="1" applyProtection="1">
      <alignment horizontal="left"/>
    </xf>
    <xf numFmtId="0" fontId="5" fillId="3" borderId="2" xfId="0" applyFont="1" applyFill="1" applyBorder="1" applyAlignment="1" applyProtection="1">
      <alignment vertical="top" wrapText="1"/>
    </xf>
    <xf numFmtId="0" fontId="4" fillId="3" borderId="4" xfId="0" applyFont="1" applyFill="1" applyBorder="1" applyAlignment="1" applyProtection="1">
      <alignment vertical="top" wrapText="1"/>
    </xf>
    <xf numFmtId="0" fontId="4" fillId="3" borderId="0" xfId="0" applyFont="1" applyFill="1" applyBorder="1" applyAlignment="1" applyProtection="1">
      <alignment vertical="top" wrapText="1"/>
    </xf>
    <xf numFmtId="0" fontId="4" fillId="3" borderId="2" xfId="0" applyFont="1" applyFill="1" applyBorder="1" applyAlignment="1" applyProtection="1">
      <alignment vertical="top" wrapText="1"/>
    </xf>
    <xf numFmtId="0" fontId="20" fillId="3" borderId="2" xfId="1" applyFont="1" applyFill="1" applyBorder="1" applyAlignment="1" applyProtection="1">
      <alignment vertical="top" wrapText="1"/>
    </xf>
    <xf numFmtId="0" fontId="4" fillId="0" borderId="4" xfId="0" applyFont="1"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166" fontId="5" fillId="5" borderId="9" xfId="0" quotePrefix="1" applyNumberFormat="1" applyFont="1" applyFill="1" applyBorder="1" applyAlignment="1" applyProtection="1">
      <alignment wrapText="1"/>
    </xf>
    <xf numFmtId="0" fontId="4" fillId="0" borderId="0" xfId="0" applyFont="1" applyFill="1" applyBorder="1" applyAlignment="1" applyProtection="1">
      <alignment vertical="top" wrapText="1"/>
      <protection locked="0"/>
    </xf>
    <xf numFmtId="166" fontId="5" fillId="6" borderId="0" xfId="0" applyNumberFormat="1" applyFont="1" applyFill="1" applyBorder="1" applyAlignment="1" applyProtection="1">
      <alignment vertical="top" wrapText="1"/>
      <protection locked="0"/>
    </xf>
    <xf numFmtId="0" fontId="3" fillId="7" borderId="0" xfId="0" applyFont="1" applyFill="1" applyProtection="1"/>
    <xf numFmtId="0" fontId="21" fillId="7" borderId="0" xfId="0" applyFont="1" applyFill="1" applyProtection="1"/>
    <xf numFmtId="0" fontId="22" fillId="7" borderId="0" xfId="0" applyFont="1" applyFill="1" applyProtection="1"/>
    <xf numFmtId="0" fontId="23" fillId="0" borderId="0" xfId="0" applyFont="1"/>
    <xf numFmtId="0" fontId="21" fillId="7" borderId="3" xfId="0" applyFont="1" applyFill="1" applyBorder="1" applyAlignment="1" applyProtection="1">
      <alignment horizontal="center" wrapText="1"/>
    </xf>
    <xf numFmtId="0" fontId="23" fillId="0" borderId="0" xfId="0" applyFont="1" applyAlignment="1">
      <alignment vertical="center"/>
    </xf>
    <xf numFmtId="0" fontId="4" fillId="11" borderId="0" xfId="0" applyFont="1" applyFill="1" applyAlignment="1" applyProtection="1"/>
    <xf numFmtId="0" fontId="0" fillId="0" borderId="0" xfId="0" applyBorder="1"/>
    <xf numFmtId="0" fontId="4" fillId="0" borderId="0" xfId="0" applyFont="1" applyBorder="1" applyAlignment="1">
      <alignment vertical="center" wrapText="1"/>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6" fillId="0" borderId="0" xfId="0" applyFont="1" applyBorder="1"/>
    <xf numFmtId="0" fontId="7" fillId="8" borderId="0" xfId="0" applyFont="1" applyFill="1" applyAlignment="1">
      <alignment horizontal="left" vertical="top"/>
    </xf>
    <xf numFmtId="0" fontId="4" fillId="9" borderId="0" xfId="0" applyFont="1" applyFill="1" applyAlignment="1" applyProtection="1">
      <alignment horizontal="right"/>
    </xf>
    <xf numFmtId="0" fontId="4" fillId="9" borderId="0" xfId="0" applyFont="1" applyFill="1" applyAlignment="1" applyProtection="1">
      <protection locked="0"/>
    </xf>
    <xf numFmtId="0" fontId="4" fillId="9" borderId="0" xfId="0" applyFont="1" applyFill="1" applyProtection="1">
      <protection locked="0"/>
    </xf>
    <xf numFmtId="166" fontId="4" fillId="9" borderId="0" xfId="0" applyNumberFormat="1" applyFont="1" applyFill="1" applyProtection="1">
      <protection locked="0"/>
    </xf>
    <xf numFmtId="0" fontId="4" fillId="9" borderId="0" xfId="0" applyFont="1" applyFill="1" applyBorder="1" applyProtection="1">
      <protection locked="0"/>
    </xf>
    <xf numFmtId="0" fontId="4" fillId="10" borderId="0" xfId="0" applyFont="1" applyFill="1" applyProtection="1">
      <protection locked="0"/>
    </xf>
    <xf numFmtId="0" fontId="4" fillId="5" borderId="0" xfId="0" applyFont="1" applyFill="1" applyBorder="1" applyAlignment="1" applyProtection="1">
      <protection locked="0"/>
    </xf>
    <xf numFmtId="0" fontId="4" fillId="10" borderId="0" xfId="0" applyFont="1" applyFill="1" applyBorder="1" applyProtection="1">
      <protection locked="0"/>
    </xf>
    <xf numFmtId="0" fontId="4" fillId="0" borderId="0" xfId="0" applyFont="1" applyFill="1" applyBorder="1" applyProtection="1">
      <protection locked="0"/>
    </xf>
    <xf numFmtId="0" fontId="5" fillId="6" borderId="0" xfId="0" applyFont="1" applyFill="1" applyBorder="1" applyAlignment="1" applyProtection="1">
      <alignment vertical="center" wrapText="1"/>
      <protection locked="0"/>
    </xf>
    <xf numFmtId="0" fontId="4" fillId="6" borderId="0" xfId="0" applyFont="1" applyFill="1" applyBorder="1" applyAlignment="1" applyProtection="1">
      <alignment horizontal="left" vertical="top"/>
      <protection locked="0"/>
    </xf>
    <xf numFmtId="0" fontId="5" fillId="4" borderId="0" xfId="0" applyFont="1" applyFill="1" applyBorder="1" applyAlignment="1" applyProtection="1">
      <alignment vertical="center" wrapText="1"/>
      <protection locked="0"/>
    </xf>
    <xf numFmtId="0" fontId="4" fillId="4" borderId="0" xfId="0" applyFont="1" applyFill="1" applyBorder="1" applyAlignment="1" applyProtection="1">
      <alignment horizontal="left" vertical="top"/>
      <protection locked="0"/>
    </xf>
    <xf numFmtId="0" fontId="5" fillId="10" borderId="9" xfId="0" applyFont="1" applyFill="1" applyBorder="1" applyProtection="1">
      <protection locked="0"/>
    </xf>
    <xf numFmtId="0" fontId="4" fillId="10" borderId="9" xfId="0" applyFont="1" applyFill="1" applyBorder="1" applyProtection="1">
      <protection locked="0"/>
    </xf>
    <xf numFmtId="0" fontId="4" fillId="0" borderId="17" xfId="0" applyFont="1" applyFill="1" applyBorder="1" applyProtection="1">
      <protection locked="0"/>
    </xf>
    <xf numFmtId="0" fontId="4" fillId="0" borderId="20" xfId="0" applyFont="1" applyFill="1" applyBorder="1" applyProtection="1">
      <protection locked="0"/>
    </xf>
    <xf numFmtId="0" fontId="16" fillId="0" borderId="2" xfId="0" applyFont="1" applyFill="1" applyBorder="1" applyAlignment="1" applyProtection="1">
      <alignment horizontal="left" vertical="top" wrapText="1" indent="1"/>
      <protection locked="0"/>
    </xf>
    <xf numFmtId="0" fontId="19" fillId="0" borderId="0" xfId="1" applyFont="1" applyBorder="1" applyAlignment="1">
      <alignment horizontal="left" indent="1"/>
    </xf>
    <xf numFmtId="0" fontId="19" fillId="0" borderId="0" xfId="1" applyFont="1" applyAlignment="1">
      <alignment horizontal="left" indent="1"/>
    </xf>
    <xf numFmtId="0" fontId="4" fillId="0" borderId="16" xfId="0" applyFont="1" applyBorder="1" applyAlignment="1">
      <alignment vertical="center" wrapText="1"/>
    </xf>
    <xf numFmtId="0" fontId="4" fillId="0" borderId="0" xfId="0" applyFont="1" applyFill="1" applyBorder="1" applyAlignment="1">
      <alignment vertical="center" wrapText="1"/>
    </xf>
    <xf numFmtId="0" fontId="20" fillId="3" borderId="2" xfId="1" applyFont="1" applyFill="1" applyBorder="1" applyAlignment="1" applyProtection="1">
      <alignment horizontal="left" wrapText="1"/>
    </xf>
    <xf numFmtId="0" fontId="4" fillId="0" borderId="15"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protection locked="0"/>
    </xf>
    <xf numFmtId="0" fontId="5" fillId="10" borderId="0" xfId="0" quotePrefix="1" applyFont="1" applyFill="1" applyBorder="1" applyAlignment="1" applyProtection="1">
      <alignment vertical="center" wrapText="1"/>
      <protection locked="0"/>
    </xf>
    <xf numFmtId="0" fontId="5" fillId="10" borderId="9" xfId="0" quotePrefix="1" applyFont="1" applyFill="1" applyBorder="1" applyAlignment="1" applyProtection="1">
      <alignment vertical="center" wrapText="1"/>
      <protection locked="0"/>
    </xf>
    <xf numFmtId="0" fontId="27" fillId="0" borderId="0" xfId="0" applyFont="1" applyBorder="1"/>
    <xf numFmtId="0" fontId="28" fillId="8" borderId="0" xfId="0" applyFont="1" applyFill="1" applyAlignment="1">
      <alignment horizontal="left" vertical="top"/>
    </xf>
    <xf numFmtId="0" fontId="4" fillId="0" borderId="0" xfId="0" applyFont="1" applyFill="1" applyBorder="1" applyAlignment="1" applyProtection="1">
      <alignment horizontal="left" vertical="top"/>
      <protection locked="0"/>
    </xf>
    <xf numFmtId="0" fontId="4" fillId="0" borderId="23" xfId="0" applyFont="1" applyFill="1" applyBorder="1" applyAlignment="1" applyProtection="1">
      <alignment horizontal="left" vertical="top"/>
      <protection locked="0"/>
    </xf>
    <xf numFmtId="0" fontId="5" fillId="10" borderId="0" xfId="0" applyFont="1" applyFill="1" applyBorder="1" applyAlignment="1" applyProtection="1">
      <alignment wrapText="1"/>
      <protection locked="0"/>
    </xf>
    <xf numFmtId="0" fontId="4" fillId="10" borderId="15" xfId="0" quotePrefix="1" applyFont="1" applyFill="1" applyBorder="1" applyAlignment="1" applyProtection="1">
      <alignment horizontal="left" vertical="center" wrapText="1" indent="1"/>
      <protection locked="0"/>
    </xf>
    <xf numFmtId="0" fontId="4" fillId="10" borderId="23" xfId="0" quotePrefix="1" applyFont="1" applyFill="1" applyBorder="1" applyAlignment="1" applyProtection="1">
      <alignment horizontal="left" vertical="center" wrapText="1" indent="1"/>
      <protection locked="0"/>
    </xf>
    <xf numFmtId="0" fontId="4" fillId="10" borderId="14" xfId="0" quotePrefix="1" applyFont="1" applyFill="1" applyBorder="1" applyAlignment="1" applyProtection="1">
      <alignment horizontal="left" vertical="center" wrapText="1" indent="1"/>
      <protection locked="0"/>
    </xf>
    <xf numFmtId="0" fontId="4" fillId="10" borderId="24" xfId="0" quotePrefix="1" applyFont="1" applyFill="1" applyBorder="1" applyAlignment="1" applyProtection="1">
      <alignment horizontal="left" vertical="center" wrapText="1" indent="1"/>
      <protection locked="0"/>
    </xf>
    <xf numFmtId="0" fontId="4" fillId="10" borderId="15" xfId="0" applyFont="1" applyFill="1" applyBorder="1" applyAlignment="1" applyProtection="1">
      <alignment horizontal="left" wrapText="1" indent="1"/>
      <protection locked="0"/>
    </xf>
    <xf numFmtId="0" fontId="4" fillId="10" borderId="23" xfId="0" applyFont="1" applyFill="1" applyBorder="1" applyAlignment="1" applyProtection="1">
      <alignment horizontal="left" wrapText="1" indent="1"/>
      <protection locked="0"/>
    </xf>
    <xf numFmtId="0" fontId="4" fillId="10" borderId="0" xfId="0" applyFont="1" applyFill="1" applyBorder="1" applyAlignment="1" applyProtection="1">
      <alignment horizontal="left" vertical="top"/>
      <protection locked="0"/>
    </xf>
    <xf numFmtId="0" fontId="5" fillId="5" borderId="9" xfId="0" quotePrefix="1" applyFont="1" applyFill="1" applyBorder="1" applyAlignment="1" applyProtection="1">
      <alignment wrapText="1"/>
      <protection locked="0"/>
    </xf>
    <xf numFmtId="0" fontId="4" fillId="5" borderId="9" xfId="0" applyFont="1" applyFill="1" applyBorder="1" applyAlignment="1" applyProtection="1">
      <protection locked="0"/>
    </xf>
    <xf numFmtId="0" fontId="4" fillId="10" borderId="5" xfId="0" quotePrefix="1" applyFont="1" applyFill="1" applyBorder="1" applyAlignment="1" applyProtection="1">
      <alignment horizontal="left" vertical="center" wrapText="1" indent="1"/>
      <protection locked="0"/>
    </xf>
    <xf numFmtId="0" fontId="4" fillId="0" borderId="15" xfId="0" applyFont="1" applyFill="1" applyBorder="1" applyProtection="1">
      <protection locked="0"/>
    </xf>
    <xf numFmtId="0" fontId="4" fillId="0" borderId="18" xfId="0" applyFont="1" applyFill="1" applyBorder="1" applyProtection="1">
      <protection locked="0"/>
    </xf>
    <xf numFmtId="0" fontId="29" fillId="10" borderId="0" xfId="0" applyFont="1" applyFill="1" applyBorder="1" applyAlignment="1">
      <alignment horizontal="left" wrapText="1"/>
    </xf>
    <xf numFmtId="0" fontId="21" fillId="10" borderId="5" xfId="0" applyFont="1" applyFill="1" applyBorder="1" applyAlignment="1">
      <alignment horizontal="left" wrapText="1"/>
    </xf>
    <xf numFmtId="0" fontId="22" fillId="9" borderId="27" xfId="0" applyFont="1" applyFill="1" applyBorder="1" applyAlignment="1" applyProtection="1">
      <alignment vertical="top" wrapText="1"/>
      <protection locked="0"/>
    </xf>
    <xf numFmtId="0" fontId="4" fillId="9" borderId="28" xfId="0" applyFont="1" applyFill="1" applyBorder="1" applyProtection="1">
      <protection locked="0"/>
    </xf>
    <xf numFmtId="0" fontId="5" fillId="9" borderId="27" xfId="0" applyFont="1" applyFill="1" applyBorder="1" applyAlignment="1" applyProtection="1">
      <protection locked="0"/>
    </xf>
    <xf numFmtId="0" fontId="23" fillId="7" borderId="0" xfId="0" applyFont="1" applyFill="1" applyProtection="1"/>
    <xf numFmtId="0" fontId="4" fillId="10" borderId="0"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10" borderId="9" xfId="0" applyFont="1" applyFill="1" applyBorder="1" applyAlignment="1" applyProtection="1">
      <alignment horizontal="left" vertical="top" wrapText="1"/>
      <protection locked="0"/>
    </xf>
    <xf numFmtId="0" fontId="4" fillId="6" borderId="0"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0" fillId="0" borderId="0" xfId="0" applyFill="1" applyBorder="1"/>
    <xf numFmtId="0" fontId="4" fillId="9" borderId="0" xfId="0" quotePrefix="1" applyFont="1" applyFill="1" applyAlignment="1" applyProtection="1">
      <alignment horizontal="left" indent="1"/>
    </xf>
    <xf numFmtId="0" fontId="21" fillId="8" borderId="0" xfId="0" applyFont="1" applyFill="1" applyAlignment="1">
      <alignment horizontal="left" vertical="top" indent="1"/>
    </xf>
    <xf numFmtId="0" fontId="4" fillId="0" borderId="0" xfId="0" applyFont="1" applyFill="1" applyBorder="1" applyAlignment="1">
      <alignment vertical="top" wrapText="1"/>
    </xf>
    <xf numFmtId="0" fontId="4" fillId="0" borderId="0" xfId="0" applyFont="1" applyFill="1" applyAlignment="1" applyProtection="1">
      <alignment vertical="top" wrapText="1"/>
      <protection locked="0"/>
    </xf>
    <xf numFmtId="0" fontId="5" fillId="3" borderId="13" xfId="0" applyFont="1" applyFill="1" applyBorder="1" applyAlignment="1" applyProtection="1">
      <alignment horizontal="left" wrapText="1"/>
    </xf>
    <xf numFmtId="166" fontId="0" fillId="7" borderId="2" xfId="0" applyNumberFormat="1" applyFill="1" applyBorder="1" applyAlignment="1" applyProtection="1">
      <alignment horizontal="left" vertical="top" wrapText="1"/>
    </xf>
    <xf numFmtId="166" fontId="5" fillId="6" borderId="0" xfId="0" applyNumberFormat="1" applyFont="1" applyFill="1" applyBorder="1" applyAlignment="1" applyProtection="1">
      <alignment horizontal="left" vertical="top" wrapText="1"/>
    </xf>
    <xf numFmtId="166" fontId="5" fillId="4" borderId="0" xfId="0" applyNumberFormat="1" applyFont="1" applyFill="1" applyBorder="1" applyAlignment="1" applyProtection="1">
      <alignment horizontal="left" vertical="top" wrapText="1"/>
    </xf>
    <xf numFmtId="167" fontId="4" fillId="0" borderId="2" xfId="0" applyNumberFormat="1" applyFont="1" applyFill="1" applyBorder="1" applyAlignment="1" applyProtection="1">
      <alignment horizontal="left" vertical="top" wrapText="1"/>
      <protection locked="0"/>
    </xf>
    <xf numFmtId="0" fontId="4" fillId="11" borderId="4" xfId="0" applyFont="1" applyFill="1" applyBorder="1" applyAlignment="1">
      <alignment horizontal="center"/>
    </xf>
    <xf numFmtId="0" fontId="4" fillId="11" borderId="0" xfId="0" applyFont="1" applyFill="1" applyAlignment="1">
      <alignment horizontal="center"/>
    </xf>
    <xf numFmtId="0" fontId="31" fillId="19" borderId="0" xfId="0" applyFont="1" applyFill="1" applyBorder="1" applyProtection="1"/>
    <xf numFmtId="0" fontId="15" fillId="19" borderId="0" xfId="0" applyFont="1" applyFill="1" applyBorder="1" applyProtection="1"/>
    <xf numFmtId="0" fontId="32" fillId="19" borderId="0" xfId="0" applyFont="1" applyFill="1" applyBorder="1" applyProtection="1"/>
    <xf numFmtId="0" fontId="15" fillId="19" borderId="0" xfId="0" applyFont="1" applyFill="1" applyBorder="1" applyAlignment="1" applyProtection="1">
      <alignment horizontal="left" indent="1"/>
    </xf>
    <xf numFmtId="0" fontId="33" fillId="19" borderId="0" xfId="0" applyFont="1" applyFill="1" applyBorder="1" applyProtection="1"/>
    <xf numFmtId="0" fontId="7" fillId="3" borderId="0" xfId="0" applyFont="1" applyFill="1" applyProtection="1"/>
    <xf numFmtId="0" fontId="5" fillId="3" borderId="0" xfId="0" applyFont="1" applyFill="1" applyAlignment="1" applyProtection="1">
      <alignment horizontal="right"/>
    </xf>
    <xf numFmtId="0" fontId="4" fillId="3" borderId="0" xfId="0" applyFont="1" applyFill="1" applyAlignment="1" applyProtection="1">
      <alignment horizontal="left" indent="1"/>
    </xf>
    <xf numFmtId="1" fontId="4" fillId="3" borderId="0" xfId="0" applyNumberFormat="1" applyFont="1" applyFill="1" applyAlignment="1" applyProtection="1">
      <alignment horizontal="right"/>
    </xf>
    <xf numFmtId="0" fontId="24" fillId="2" borderId="0" xfId="0" applyFont="1" applyFill="1" applyProtection="1"/>
    <xf numFmtId="0" fontId="24" fillId="3" borderId="0" xfId="0" applyFont="1" applyFill="1" applyProtection="1"/>
    <xf numFmtId="0" fontId="32" fillId="19" borderId="0" xfId="0" applyFont="1" applyFill="1" applyBorder="1" applyAlignment="1" applyProtection="1">
      <alignment horizontal="right" vertical="top"/>
    </xf>
    <xf numFmtId="9" fontId="4" fillId="11" borderId="0" xfId="2" applyFont="1" applyFill="1"/>
    <xf numFmtId="0" fontId="4" fillId="11" borderId="0" xfId="0" applyFont="1" applyFill="1" applyAlignment="1">
      <alignment horizontal="left" indent="1"/>
    </xf>
    <xf numFmtId="0" fontId="4" fillId="11" borderId="0" xfId="0" applyFont="1" applyFill="1" applyAlignment="1" applyProtection="1"/>
    <xf numFmtId="0" fontId="5" fillId="3" borderId="0" xfId="0" applyFont="1" applyFill="1" applyAlignment="1" applyProtection="1">
      <alignment horizontal="center"/>
    </xf>
    <xf numFmtId="0" fontId="4" fillId="3" borderId="0" xfId="0" applyFont="1" applyFill="1" applyAlignment="1" applyProtection="1">
      <alignment horizontal="left" vertical="center" wrapText="1"/>
    </xf>
    <xf numFmtId="0" fontId="4" fillId="3" borderId="0" xfId="0" applyFont="1" applyFill="1" applyAlignment="1" applyProtection="1">
      <alignment horizontal="right" vertical="center"/>
    </xf>
    <xf numFmtId="0" fontId="24" fillId="3" borderId="0" xfId="0" applyFont="1" applyFill="1" applyAlignment="1" applyProtection="1">
      <alignment vertical="center"/>
    </xf>
    <xf numFmtId="0" fontId="5" fillId="3" borderId="0" xfId="0" applyFont="1" applyFill="1" applyAlignment="1" applyProtection="1">
      <alignment vertical="center"/>
    </xf>
    <xf numFmtId="0" fontId="4" fillId="3" borderId="0" xfId="0" applyFont="1" applyFill="1" applyAlignment="1" applyProtection="1">
      <alignment horizontal="left" vertical="center"/>
    </xf>
    <xf numFmtId="0" fontId="24" fillId="3" borderId="0" xfId="0" applyFont="1" applyFill="1" applyAlignment="1" applyProtection="1">
      <alignment vertical="center" wrapText="1"/>
    </xf>
    <xf numFmtId="164" fontId="4" fillId="3" borderId="0" xfId="0" applyNumberFormat="1" applyFont="1" applyFill="1" applyAlignment="1" applyProtection="1">
      <alignment horizontal="right" vertical="center"/>
    </xf>
    <xf numFmtId="0" fontId="24" fillId="2" borderId="0" xfId="0" applyFont="1" applyFill="1" applyAlignment="1" applyProtection="1">
      <alignment vertical="center"/>
    </xf>
    <xf numFmtId="0" fontId="24" fillId="3" borderId="0" xfId="0" applyFont="1" applyFill="1" applyAlignment="1" applyProtection="1">
      <alignment horizontal="left" indent="1"/>
    </xf>
    <xf numFmtId="0" fontId="24" fillId="3" borderId="0" xfId="0" applyFont="1" applyFill="1" applyAlignment="1" applyProtection="1">
      <alignment horizontal="left" vertical="center" indent="1"/>
    </xf>
    <xf numFmtId="168" fontId="0" fillId="7" borderId="0" xfId="0" applyNumberFormat="1" applyFont="1" applyFill="1" applyBorder="1" applyAlignment="1" applyProtection="1">
      <alignment horizontal="right" vertical="top" wrapText="1"/>
      <protection locked="0"/>
    </xf>
    <xf numFmtId="168" fontId="0" fillId="0" borderId="0" xfId="0" applyNumberFormat="1" applyFill="1" applyAlignment="1" applyProtection="1">
      <alignment horizontal="right" vertical="top"/>
      <protection locked="0"/>
    </xf>
    <xf numFmtId="168" fontId="0" fillId="7" borderId="0" xfId="0" applyNumberFormat="1" applyFill="1" applyAlignment="1" applyProtection="1">
      <alignment horizontal="right" vertical="top"/>
      <protection locked="0"/>
    </xf>
    <xf numFmtId="168" fontId="4" fillId="6" borderId="0" xfId="0" applyNumberFormat="1" applyFont="1" applyFill="1" applyBorder="1" applyAlignment="1" applyProtection="1">
      <alignment horizontal="right" vertical="top" wrapText="1"/>
      <protection locked="0"/>
    </xf>
    <xf numFmtId="168" fontId="4" fillId="6" borderId="0" xfId="0" applyNumberFormat="1" applyFont="1" applyFill="1" applyBorder="1" applyAlignment="1" applyProtection="1">
      <alignment vertical="top" wrapText="1"/>
      <protection locked="0"/>
    </xf>
    <xf numFmtId="168" fontId="4" fillId="4" borderId="0" xfId="0" applyNumberFormat="1" applyFont="1" applyFill="1" applyBorder="1" applyAlignment="1" applyProtection="1">
      <alignment horizontal="right" vertical="top" wrapText="1"/>
      <protection locked="0"/>
    </xf>
    <xf numFmtId="168" fontId="4" fillId="4" borderId="0" xfId="0" applyNumberFormat="1" applyFont="1" applyFill="1" applyBorder="1" applyAlignment="1" applyProtection="1">
      <alignment vertical="top" wrapText="1"/>
      <protection locked="0"/>
    </xf>
    <xf numFmtId="0" fontId="22" fillId="8" borderId="0" xfId="0" applyFont="1" applyFill="1" applyAlignment="1">
      <alignment horizontal="left" vertical="top" indent="1"/>
    </xf>
    <xf numFmtId="49" fontId="4" fillId="0" borderId="0" xfId="0" applyNumberFormat="1" applyFont="1" applyFill="1" applyAlignment="1">
      <alignment horizontal="left" vertical="top" wrapText="1"/>
    </xf>
    <xf numFmtId="0" fontId="4" fillId="0" borderId="10" xfId="0" applyFont="1" applyFill="1" applyBorder="1" applyAlignment="1" applyProtection="1">
      <alignment horizontal="right" vertical="top" wrapText="1"/>
    </xf>
    <xf numFmtId="0" fontId="5" fillId="3" borderId="4" xfId="0" quotePrefix="1" applyFont="1" applyFill="1" applyBorder="1" applyAlignment="1" applyProtection="1">
      <alignment horizontal="center" vertical="center"/>
    </xf>
    <xf numFmtId="0" fontId="5" fillId="3" borderId="4" xfId="0" applyFont="1" applyFill="1" applyBorder="1" applyAlignment="1" applyProtection="1">
      <alignment horizontal="right"/>
    </xf>
    <xf numFmtId="0" fontId="4" fillId="0" borderId="4" xfId="0" applyFont="1" applyFill="1" applyBorder="1" applyAlignment="1" applyProtection="1">
      <alignment horizontal="right" vertical="top" wrapText="1"/>
    </xf>
    <xf numFmtId="0" fontId="4" fillId="2" borderId="0" xfId="0" applyFont="1" applyFill="1" applyBorder="1" applyProtection="1"/>
    <xf numFmtId="0" fontId="4" fillId="0" borderId="4" xfId="0" applyFont="1" applyFill="1" applyBorder="1" applyAlignment="1" applyProtection="1">
      <alignment horizontal="right" vertical="top"/>
    </xf>
    <xf numFmtId="0" fontId="4" fillId="0" borderId="4" xfId="0" applyNumberFormat="1" applyFont="1" applyFill="1" applyBorder="1" applyAlignment="1" applyProtection="1">
      <alignment horizontal="right" vertical="top"/>
    </xf>
    <xf numFmtId="0" fontId="4" fillId="3" borderId="4" xfId="0" applyFont="1" applyFill="1" applyBorder="1" applyAlignment="1" applyProtection="1">
      <alignment horizontal="right" vertical="top" wrapText="1"/>
    </xf>
    <xf numFmtId="0" fontId="4" fillId="0" borderId="4" xfId="0" applyFont="1" applyFill="1" applyBorder="1" applyAlignment="1" applyProtection="1">
      <alignment horizontal="right" vertical="top" wrapText="1"/>
      <protection locked="0"/>
    </xf>
    <xf numFmtId="169" fontId="4" fillId="0" borderId="4" xfId="3" applyNumberFormat="1" applyFont="1" applyFill="1" applyBorder="1" applyAlignment="1" applyProtection="1">
      <alignment horizontal="right" vertical="top" wrapText="1"/>
    </xf>
    <xf numFmtId="0" fontId="0" fillId="7" borderId="0" xfId="0" applyFill="1" applyAlignment="1" applyProtection="1">
      <alignment horizontal="center"/>
    </xf>
    <xf numFmtId="0" fontId="21" fillId="7" borderId="4" xfId="0" applyFont="1" applyFill="1" applyBorder="1" applyAlignment="1" applyProtection="1">
      <alignment horizontal="center" wrapText="1"/>
    </xf>
    <xf numFmtId="0" fontId="4" fillId="0" borderId="0" xfId="0" applyNumberFormat="1" applyFont="1" applyFill="1" applyAlignment="1">
      <alignment horizontal="left" vertical="top" wrapText="1"/>
    </xf>
    <xf numFmtId="0" fontId="4" fillId="0" borderId="29" xfId="0" applyFont="1" applyFill="1" applyBorder="1" applyAlignment="1">
      <alignment vertical="top" wrapText="1"/>
    </xf>
    <xf numFmtId="0" fontId="4" fillId="0" borderId="5" xfId="0" applyFont="1" applyFill="1" applyBorder="1" applyAlignment="1">
      <alignment vertical="top" wrapText="1"/>
    </xf>
    <xf numFmtId="0" fontId="4" fillId="0" borderId="8" xfId="0" applyFont="1" applyFill="1" applyBorder="1" applyAlignment="1">
      <alignment vertical="top" wrapText="1"/>
    </xf>
    <xf numFmtId="0" fontId="4" fillId="0" borderId="8" xfId="0" applyFont="1" applyFill="1" applyBorder="1" applyAlignment="1" applyProtection="1">
      <alignment vertical="top" wrapText="1"/>
    </xf>
    <xf numFmtId="0" fontId="11" fillId="3" borderId="0" xfId="0" applyFont="1" applyFill="1" applyAlignment="1" applyProtection="1"/>
    <xf numFmtId="166" fontId="4" fillId="0" borderId="0" xfId="0" applyNumberFormat="1" applyFont="1" applyFill="1" applyAlignment="1" applyProtection="1">
      <alignment vertical="top" wrapText="1"/>
    </xf>
    <xf numFmtId="0" fontId="4" fillId="0" borderId="29" xfId="0" applyFont="1" applyFill="1" applyBorder="1" applyAlignment="1" applyProtection="1">
      <alignment vertical="top" wrapText="1"/>
    </xf>
    <xf numFmtId="0" fontId="4" fillId="0" borderId="8" xfId="0" applyFont="1" applyFill="1" applyBorder="1" applyAlignment="1" applyProtection="1">
      <alignment vertical="top" wrapText="1"/>
      <protection locked="0"/>
    </xf>
    <xf numFmtId="0" fontId="4" fillId="0" borderId="24" xfId="0" applyFont="1" applyFill="1" applyBorder="1" applyAlignment="1" applyProtection="1">
      <alignment vertical="top" wrapText="1"/>
      <protection locked="0"/>
    </xf>
    <xf numFmtId="0" fontId="4" fillId="0" borderId="29" xfId="0" applyFont="1" applyFill="1" applyBorder="1" applyAlignment="1" applyProtection="1">
      <alignment vertical="top" wrapText="1"/>
      <protection locked="0"/>
    </xf>
    <xf numFmtId="0" fontId="4" fillId="0" borderId="33" xfId="0" applyFont="1" applyFill="1" applyBorder="1" applyAlignment="1" applyProtection="1">
      <alignment vertical="top" wrapText="1"/>
    </xf>
    <xf numFmtId="0" fontId="4" fillId="0" borderId="34" xfId="0" applyFont="1" applyFill="1" applyBorder="1" applyAlignment="1" applyProtection="1">
      <alignment vertical="top" wrapText="1"/>
    </xf>
    <xf numFmtId="0" fontId="4" fillId="20" borderId="0" xfId="0" applyFont="1" applyFill="1" applyBorder="1" applyAlignment="1" applyProtection="1">
      <alignment vertical="top" wrapText="1"/>
    </xf>
    <xf numFmtId="0" fontId="4" fillId="20" borderId="0" xfId="0" applyFont="1" applyFill="1" applyProtection="1"/>
    <xf numFmtId="0" fontId="4" fillId="20" borderId="0" xfId="0" applyFont="1" applyFill="1" applyAlignment="1" applyProtection="1"/>
    <xf numFmtId="0" fontId="6" fillId="20" borderId="0" xfId="0" applyFont="1" applyFill="1" applyProtection="1"/>
    <xf numFmtId="0" fontId="5" fillId="20" borderId="0" xfId="0" applyFont="1" applyFill="1" applyProtection="1"/>
    <xf numFmtId="0" fontId="34" fillId="20" borderId="0" xfId="0" applyFont="1" applyFill="1" applyAlignment="1" applyProtection="1">
      <alignment horizontal="left"/>
    </xf>
    <xf numFmtId="0" fontId="19" fillId="20" borderId="0" xfId="1" applyFont="1" applyFill="1" applyAlignment="1" applyProtection="1">
      <alignment horizontal="left"/>
    </xf>
    <xf numFmtId="0" fontId="4" fillId="20" borderId="0" xfId="0" applyFont="1" applyFill="1" applyAlignment="1" applyProtection="1">
      <alignment horizontal="right"/>
    </xf>
    <xf numFmtId="166" fontId="4" fillId="20" borderId="0" xfId="0" applyNumberFormat="1" applyFont="1" applyFill="1" applyProtection="1"/>
    <xf numFmtId="49" fontId="4" fillId="20" borderId="0" xfId="0" applyNumberFormat="1" applyFont="1" applyFill="1" applyAlignment="1" applyProtection="1"/>
    <xf numFmtId="0" fontId="22" fillId="20" borderId="0" xfId="0" applyFont="1" applyFill="1" applyAlignment="1" applyProtection="1">
      <alignment horizontal="left"/>
    </xf>
    <xf numFmtId="0" fontId="4" fillId="20" borderId="0" xfId="0" applyFont="1" applyFill="1" applyBorder="1" applyProtection="1"/>
    <xf numFmtId="0" fontId="5" fillId="20" borderId="5" xfId="0" applyFont="1" applyFill="1" applyBorder="1" applyAlignment="1" applyProtection="1">
      <alignment wrapText="1"/>
    </xf>
    <xf numFmtId="0" fontId="18" fillId="20" borderId="0" xfId="1" applyFont="1" applyFill="1" applyAlignment="1" applyProtection="1">
      <alignment horizontal="left" indent="3"/>
    </xf>
    <xf numFmtId="0" fontId="24" fillId="20" borderId="0" xfId="0" applyFont="1" applyFill="1" applyProtection="1"/>
    <xf numFmtId="0" fontId="4" fillId="20" borderId="0" xfId="0" applyFont="1" applyFill="1" applyBorder="1" applyAlignment="1" applyProtection="1">
      <alignment horizontal="left"/>
    </xf>
    <xf numFmtId="2" fontId="5" fillId="20" borderId="10" xfId="0" applyNumberFormat="1" applyFont="1" applyFill="1" applyBorder="1" applyAlignment="1" applyProtection="1">
      <alignment horizontal="right"/>
    </xf>
    <xf numFmtId="1" fontId="5" fillId="20" borderId="5" xfId="0" applyNumberFormat="1" applyFont="1" applyFill="1" applyBorder="1" applyAlignment="1" applyProtection="1">
      <alignment wrapText="1"/>
    </xf>
    <xf numFmtId="166" fontId="4" fillId="20" borderId="0" xfId="0" applyNumberFormat="1" applyFont="1" applyFill="1" applyAlignment="1" applyProtection="1">
      <alignment vertical="top" wrapText="1"/>
    </xf>
    <xf numFmtId="166" fontId="4" fillId="20" borderId="29" xfId="0" applyNumberFormat="1" applyFont="1" applyFill="1" applyBorder="1" applyAlignment="1" applyProtection="1">
      <alignment vertical="top" wrapText="1"/>
    </xf>
    <xf numFmtId="166" fontId="4" fillId="20" borderId="24" xfId="0" applyNumberFormat="1" applyFont="1" applyFill="1" applyBorder="1" applyAlignment="1" applyProtection="1">
      <alignment vertical="top" wrapText="1"/>
    </xf>
    <xf numFmtId="166" fontId="4" fillId="20" borderId="8" xfId="0" applyNumberFormat="1" applyFont="1" applyFill="1" applyBorder="1" applyAlignment="1" applyProtection="1">
      <alignment vertical="top" wrapText="1"/>
    </xf>
    <xf numFmtId="0" fontId="4" fillId="21" borderId="0" xfId="0" applyFont="1" applyFill="1" applyProtection="1"/>
    <xf numFmtId="0" fontId="4" fillId="21" borderId="0" xfId="0" applyFont="1" applyFill="1" applyAlignment="1" applyProtection="1"/>
    <xf numFmtId="0" fontId="6" fillId="21" borderId="0" xfId="0" applyFont="1" applyFill="1" applyProtection="1"/>
    <xf numFmtId="0" fontId="5" fillId="21" borderId="0" xfId="0" applyFont="1" applyFill="1" applyProtection="1"/>
    <xf numFmtId="0" fontId="34" fillId="21" borderId="0" xfId="0" applyFont="1" applyFill="1" applyAlignment="1" applyProtection="1">
      <alignment horizontal="left"/>
    </xf>
    <xf numFmtId="0" fontId="19" fillId="21" borderId="0" xfId="1" applyFont="1" applyFill="1" applyAlignment="1" applyProtection="1">
      <alignment horizontal="left"/>
    </xf>
    <xf numFmtId="0" fontId="4" fillId="21" borderId="0" xfId="0" applyFont="1" applyFill="1" applyAlignment="1" applyProtection="1">
      <alignment horizontal="right"/>
    </xf>
    <xf numFmtId="166" fontId="4" fillId="21" borderId="0" xfId="0" applyNumberFormat="1" applyFont="1" applyFill="1" applyProtection="1"/>
    <xf numFmtId="0" fontId="22" fillId="21" borderId="0" xfId="0" applyFont="1" applyFill="1" applyAlignment="1" applyProtection="1">
      <alignment horizontal="left"/>
    </xf>
    <xf numFmtId="0" fontId="4" fillId="21" borderId="0" xfId="0" applyFont="1" applyFill="1" applyBorder="1" applyProtection="1"/>
    <xf numFmtId="0" fontId="5" fillId="21" borderId="5" xfId="0" applyFont="1" applyFill="1" applyBorder="1" applyAlignment="1" applyProtection="1">
      <alignment wrapText="1"/>
    </xf>
    <xf numFmtId="0" fontId="4" fillId="21" borderId="0" xfId="0" applyFont="1" applyFill="1" applyAlignment="1">
      <alignment wrapText="1"/>
    </xf>
    <xf numFmtId="0" fontId="4" fillId="21" borderId="0" xfId="0" applyFont="1" applyFill="1" applyAlignment="1" applyProtection="1">
      <alignment vertical="top" wrapText="1"/>
    </xf>
    <xf numFmtId="0" fontId="4" fillId="21" borderId="0" xfId="0" applyFont="1" applyFill="1" applyBorder="1" applyAlignment="1" applyProtection="1">
      <alignment vertical="top" wrapText="1"/>
      <protection locked="0"/>
    </xf>
    <xf numFmtId="0" fontId="4" fillId="21" borderId="0" xfId="0" applyFont="1" applyFill="1" applyBorder="1" applyAlignment="1" applyProtection="1">
      <alignment vertical="top" wrapText="1"/>
    </xf>
    <xf numFmtId="0" fontId="4" fillId="21" borderId="5" xfId="0" applyFont="1" applyFill="1" applyBorder="1" applyAlignment="1" applyProtection="1">
      <alignment vertical="top" wrapText="1"/>
      <protection locked="0"/>
    </xf>
    <xf numFmtId="0" fontId="4" fillId="21" borderId="5" xfId="0" applyFont="1" applyFill="1" applyBorder="1" applyAlignment="1" applyProtection="1">
      <alignment vertical="top" wrapText="1"/>
    </xf>
    <xf numFmtId="0" fontId="4" fillId="21" borderId="29" xfId="0" applyFont="1" applyFill="1" applyBorder="1" applyAlignment="1" applyProtection="1">
      <alignment vertical="top" wrapText="1"/>
      <protection locked="0"/>
    </xf>
    <xf numFmtId="0" fontId="4" fillId="21" borderId="29" xfId="0" applyFont="1" applyFill="1" applyBorder="1" applyAlignment="1" applyProtection="1">
      <alignment vertical="top" wrapText="1"/>
    </xf>
    <xf numFmtId="0" fontId="4" fillId="21" borderId="8" xfId="0" applyFont="1" applyFill="1" applyBorder="1" applyAlignment="1" applyProtection="1">
      <alignment vertical="top" wrapText="1"/>
    </xf>
    <xf numFmtId="0" fontId="4" fillId="21" borderId="8" xfId="0" applyFont="1" applyFill="1" applyBorder="1" applyAlignment="1" applyProtection="1">
      <alignment vertical="top" wrapText="1"/>
      <protection locked="0"/>
    </xf>
    <xf numFmtId="0" fontId="4" fillId="21" borderId="0" xfId="0" applyFont="1" applyFill="1" applyAlignment="1" applyProtection="1">
      <alignment vertical="top" wrapText="1"/>
      <protection locked="0"/>
    </xf>
    <xf numFmtId="0" fontId="18" fillId="21" borderId="0" xfId="1" applyFont="1" applyFill="1" applyAlignment="1" applyProtection="1">
      <alignment horizontal="left" indent="3"/>
    </xf>
    <xf numFmtId="0" fontId="31" fillId="22" borderId="0" xfId="0" applyFont="1" applyFill="1" applyBorder="1" applyProtection="1"/>
    <xf numFmtId="0" fontId="15" fillId="22" borderId="0" xfId="0" applyFont="1" applyFill="1" applyBorder="1" applyProtection="1"/>
    <xf numFmtId="0" fontId="32" fillId="22" borderId="0" xfId="0" applyFont="1" applyFill="1" applyBorder="1" applyAlignment="1" applyProtection="1">
      <alignment horizontal="right" vertical="top"/>
    </xf>
    <xf numFmtId="0" fontId="32" fillId="22" borderId="0" xfId="0" applyFont="1" applyFill="1" applyBorder="1" applyProtection="1"/>
    <xf numFmtId="0" fontId="15" fillId="22" borderId="0" xfId="0" applyFont="1" applyFill="1" applyBorder="1" applyAlignment="1" applyProtection="1">
      <alignment horizontal="left" indent="1"/>
    </xf>
    <xf numFmtId="0" fontId="5" fillId="21" borderId="4" xfId="0" applyFont="1" applyFill="1" applyBorder="1" applyAlignment="1" applyProtection="1">
      <alignment horizontal="left" wrapText="1"/>
    </xf>
    <xf numFmtId="0" fontId="4" fillId="21" borderId="0" xfId="0" applyFont="1" applyFill="1" applyBorder="1" applyAlignment="1" applyProtection="1">
      <alignment horizontal="left" vertical="top" wrapText="1"/>
    </xf>
    <xf numFmtId="170" fontId="4" fillId="20" borderId="4" xfId="0" applyNumberFormat="1" applyFont="1" applyFill="1" applyBorder="1" applyAlignment="1" applyProtection="1">
      <alignment horizontal="right" vertical="top"/>
    </xf>
    <xf numFmtId="170" fontId="5" fillId="6" borderId="0" xfId="0" applyNumberFormat="1" applyFont="1" applyFill="1" applyBorder="1" applyAlignment="1" applyProtection="1">
      <alignment vertical="center" wrapText="1"/>
      <protection locked="0"/>
    </xf>
    <xf numFmtId="170" fontId="5" fillId="4" borderId="0" xfId="0" applyNumberFormat="1" applyFont="1" applyFill="1" applyBorder="1" applyAlignment="1" applyProtection="1">
      <alignment vertical="center" wrapText="1"/>
      <protection locked="0"/>
    </xf>
    <xf numFmtId="170" fontId="4" fillId="20" borderId="4" xfId="3" applyNumberFormat="1" applyFont="1" applyFill="1" applyBorder="1" applyAlignment="1" applyProtection="1">
      <alignment horizontal="right" vertical="top"/>
    </xf>
    <xf numFmtId="170" fontId="4" fillId="20" borderId="31" xfId="0" applyNumberFormat="1" applyFont="1" applyFill="1" applyBorder="1" applyAlignment="1" applyProtection="1">
      <alignment horizontal="right" vertical="top"/>
    </xf>
    <xf numFmtId="170" fontId="4" fillId="20" borderId="32" xfId="0" applyNumberFormat="1" applyFont="1" applyFill="1" applyBorder="1" applyAlignment="1" applyProtection="1">
      <alignment horizontal="right" vertical="top"/>
    </xf>
    <xf numFmtId="170" fontId="4" fillId="20" borderId="32" xfId="0" applyNumberFormat="1" applyFont="1" applyFill="1" applyBorder="1" applyAlignment="1" applyProtection="1">
      <alignment horizontal="right" vertical="top"/>
      <protection locked="0"/>
    </xf>
    <xf numFmtId="170" fontId="4" fillId="20" borderId="31" xfId="0" applyNumberFormat="1" applyFont="1" applyFill="1" applyBorder="1" applyAlignment="1" applyProtection="1">
      <alignment horizontal="right" vertical="top"/>
      <protection locked="0"/>
    </xf>
    <xf numFmtId="170" fontId="4" fillId="20" borderId="4" xfId="0" applyNumberFormat="1" applyFont="1" applyFill="1" applyBorder="1" applyAlignment="1" applyProtection="1">
      <alignment horizontal="right" vertical="top"/>
      <protection locked="0"/>
    </xf>
    <xf numFmtId="170" fontId="4" fillId="20" borderId="11" xfId="0" applyNumberFormat="1" applyFont="1" applyFill="1" applyBorder="1" applyAlignment="1" applyProtection="1">
      <alignment horizontal="right" vertical="top"/>
      <protection locked="0"/>
    </xf>
    <xf numFmtId="170" fontId="4" fillId="20" borderId="11" xfId="0" applyNumberFormat="1" applyFont="1" applyFill="1" applyBorder="1" applyAlignment="1" applyProtection="1">
      <alignment horizontal="right" vertical="top"/>
    </xf>
    <xf numFmtId="170" fontId="4" fillId="20" borderId="0" xfId="0" applyNumberFormat="1" applyFont="1" applyFill="1" applyBorder="1" applyAlignment="1" applyProtection="1">
      <alignment horizontal="right" vertical="top"/>
    </xf>
    <xf numFmtId="170" fontId="4" fillId="0" borderId="0" xfId="0" applyNumberFormat="1" applyFont="1" applyFill="1" applyBorder="1" applyAlignment="1" applyProtection="1">
      <alignment vertical="top" wrapText="1"/>
    </xf>
    <xf numFmtId="170" fontId="4" fillId="0" borderId="29" xfId="0" applyNumberFormat="1" applyFont="1" applyFill="1" applyBorder="1" applyAlignment="1" applyProtection="1">
      <alignment vertical="top" wrapText="1"/>
    </xf>
    <xf numFmtId="170" fontId="4" fillId="0" borderId="24" xfId="0" applyNumberFormat="1" applyFont="1" applyFill="1" applyBorder="1" applyAlignment="1" applyProtection="1">
      <alignment vertical="top" wrapText="1"/>
    </xf>
    <xf numFmtId="170" fontId="4" fillId="0" borderId="8" xfId="0" applyNumberFormat="1" applyFont="1" applyFill="1" applyBorder="1" applyAlignment="1" applyProtection="1">
      <alignment vertical="top" wrapText="1"/>
    </xf>
    <xf numFmtId="1" fontId="24" fillId="21" borderId="4" xfId="0" applyNumberFormat="1" applyFont="1" applyFill="1" applyBorder="1" applyAlignment="1" applyProtection="1">
      <alignment horizontal="left" vertical="top" wrapText="1"/>
    </xf>
    <xf numFmtId="0" fontId="4" fillId="21" borderId="0" xfId="0" applyFont="1" applyFill="1" applyAlignment="1" applyProtection="1">
      <alignment horizontal="left" indent="2"/>
    </xf>
    <xf numFmtId="0" fontId="4" fillId="0" borderId="32" xfId="0"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170" fontId="13" fillId="0" borderId="0" xfId="0" applyNumberFormat="1" applyFont="1" applyFill="1" applyBorder="1" applyAlignment="1" applyProtection="1">
      <alignment vertical="top" wrapText="1"/>
      <protection locked="0"/>
    </xf>
    <xf numFmtId="0" fontId="5" fillId="21" borderId="0" xfId="0" applyFont="1" applyFill="1" applyBorder="1" applyAlignment="1" applyProtection="1">
      <alignment horizontal="left" wrapText="1"/>
    </xf>
    <xf numFmtId="0" fontId="4" fillId="21" borderId="0" xfId="0" applyFont="1" applyFill="1" applyAlignment="1" applyProtection="1">
      <alignment horizontal="left"/>
    </xf>
    <xf numFmtId="0" fontId="19" fillId="8" borderId="0" xfId="1" applyFont="1" applyFill="1" applyAlignment="1">
      <alignment horizontal="left" vertical="top" wrapText="1" indent="1"/>
    </xf>
    <xf numFmtId="0" fontId="4" fillId="11" borderId="0" xfId="0" applyFont="1" applyFill="1" applyAlignment="1" applyProtection="1"/>
    <xf numFmtId="0" fontId="4" fillId="0" borderId="36" xfId="0" applyFont="1" applyFill="1" applyBorder="1" applyAlignment="1" applyProtection="1">
      <alignment horizontal="left" vertical="top" wrapText="1"/>
      <protection locked="0"/>
    </xf>
    <xf numFmtId="167" fontId="4" fillId="0" borderId="35" xfId="0" applyNumberFormat="1" applyFont="1" applyFill="1" applyBorder="1" applyAlignment="1" applyProtection="1">
      <alignment horizontal="left" vertical="top" wrapText="1"/>
      <protection locked="0"/>
    </xf>
    <xf numFmtId="167" fontId="4" fillId="0" borderId="23" xfId="0" applyNumberFormat="1" applyFont="1" applyFill="1" applyBorder="1" applyAlignment="1" applyProtection="1">
      <alignment horizontal="right" vertical="top" wrapText="1"/>
      <protection locked="0"/>
    </xf>
    <xf numFmtId="167" fontId="4" fillId="0" borderId="23" xfId="0" applyNumberFormat="1" applyFont="1" applyFill="1" applyBorder="1" applyProtection="1"/>
    <xf numFmtId="167" fontId="4" fillId="0" borderId="36" xfId="0" applyNumberFormat="1" applyFont="1" applyFill="1" applyBorder="1" applyProtection="1"/>
    <xf numFmtId="0" fontId="4" fillId="0" borderId="37" xfId="0" applyFont="1" applyFill="1" applyBorder="1" applyAlignment="1" applyProtection="1">
      <alignment horizontal="left" vertical="top" wrapText="1"/>
      <protection locked="0"/>
    </xf>
    <xf numFmtId="0" fontId="4" fillId="0" borderId="39" xfId="0" applyFont="1" applyFill="1" applyBorder="1" applyAlignment="1" applyProtection="1">
      <alignment horizontal="left" vertical="top" wrapText="1"/>
      <protection locked="0"/>
    </xf>
    <xf numFmtId="167" fontId="4" fillId="0" borderId="38" xfId="0" applyNumberFormat="1" applyFont="1" applyFill="1" applyBorder="1" applyAlignment="1" applyProtection="1">
      <alignment horizontal="left" vertical="top" wrapText="1"/>
      <protection locked="0"/>
    </xf>
    <xf numFmtId="167" fontId="4" fillId="0" borderId="37" xfId="0" applyNumberFormat="1" applyFont="1" applyFill="1" applyBorder="1" applyAlignment="1" applyProtection="1">
      <alignment horizontal="right" vertical="top" wrapText="1"/>
      <protection locked="0"/>
    </xf>
    <xf numFmtId="0" fontId="4" fillId="23" borderId="0" xfId="0" applyFont="1" applyFill="1" applyProtection="1"/>
    <xf numFmtId="0" fontId="6" fillId="23" borderId="0" xfId="0" quotePrefix="1" applyFont="1" applyFill="1" applyProtection="1"/>
    <xf numFmtId="0" fontId="4" fillId="23" borderId="0" xfId="0" applyFont="1" applyFill="1" applyAlignment="1" applyProtection="1">
      <alignment horizontal="right"/>
    </xf>
    <xf numFmtId="49" fontId="4" fillId="23" borderId="0" xfId="0" applyNumberFormat="1" applyFont="1" applyFill="1" applyProtection="1"/>
    <xf numFmtId="0" fontId="5" fillId="23" borderId="0" xfId="0" quotePrefix="1" applyFont="1" applyFill="1" applyProtection="1"/>
    <xf numFmtId="166" fontId="4" fillId="23" borderId="0" xfId="0" applyNumberFormat="1" applyFont="1" applyFill="1" applyAlignment="1" applyProtection="1">
      <alignment horizontal="left"/>
    </xf>
    <xf numFmtId="0" fontId="4" fillId="23" borderId="4" xfId="0" applyFont="1" applyFill="1" applyBorder="1" applyAlignment="1" applyProtection="1">
      <alignment wrapText="1"/>
    </xf>
    <xf numFmtId="0" fontId="4" fillId="23" borderId="2" xfId="0" applyFont="1" applyFill="1" applyBorder="1" applyAlignment="1" applyProtection="1">
      <alignment wrapText="1"/>
    </xf>
    <xf numFmtId="0" fontId="4" fillId="23" borderId="0" xfId="0" applyFont="1" applyFill="1" applyBorder="1" applyAlignment="1" applyProtection="1">
      <alignment wrapText="1"/>
    </xf>
    <xf numFmtId="0" fontId="5" fillId="23" borderId="6" xfId="0" applyFont="1" applyFill="1" applyBorder="1" applyProtection="1"/>
    <xf numFmtId="0" fontId="5" fillId="23" borderId="10" xfId="0" applyFont="1" applyFill="1" applyBorder="1" applyAlignment="1" applyProtection="1">
      <alignment wrapText="1"/>
    </xf>
    <xf numFmtId="0" fontId="5" fillId="23" borderId="6" xfId="0" applyFont="1" applyFill="1" applyBorder="1" applyAlignment="1" applyProtection="1">
      <alignment wrapText="1"/>
    </xf>
    <xf numFmtId="0" fontId="5" fillId="23" borderId="5" xfId="0" applyFont="1" applyFill="1" applyBorder="1" applyAlignment="1" applyProtection="1">
      <alignment wrapText="1"/>
    </xf>
    <xf numFmtId="0" fontId="5" fillId="23" borderId="10" xfId="0" applyFont="1" applyFill="1" applyBorder="1" applyAlignment="1" applyProtection="1">
      <alignment horizontal="center" wrapText="1"/>
    </xf>
    <xf numFmtId="0" fontId="5" fillId="23" borderId="0" xfId="0" applyFont="1" applyFill="1" applyAlignment="1" applyProtection="1">
      <alignment wrapText="1"/>
    </xf>
    <xf numFmtId="0" fontId="5" fillId="23" borderId="4" xfId="0" applyFont="1" applyFill="1" applyBorder="1" applyAlignment="1" applyProtection="1">
      <alignment wrapText="1"/>
    </xf>
    <xf numFmtId="0" fontId="5" fillId="23" borderId="2" xfId="0" applyFont="1" applyFill="1" applyBorder="1" applyAlignment="1" applyProtection="1">
      <alignment wrapText="1"/>
    </xf>
    <xf numFmtId="0" fontId="5" fillId="23" borderId="0" xfId="0" applyFont="1" applyFill="1" applyBorder="1" applyAlignment="1" applyProtection="1">
      <alignment wrapText="1"/>
    </xf>
    <xf numFmtId="167" fontId="4" fillId="23" borderId="2" xfId="0" applyNumberFormat="1" applyFont="1" applyFill="1" applyBorder="1" applyAlignment="1" applyProtection="1">
      <alignment wrapText="1"/>
    </xf>
    <xf numFmtId="167" fontId="5" fillId="23" borderId="0" xfId="0" applyNumberFormat="1" applyFont="1" applyFill="1" applyBorder="1" applyAlignment="1" applyProtection="1">
      <alignment horizontal="right" wrapText="1"/>
    </xf>
    <xf numFmtId="167" fontId="5" fillId="23" borderId="0" xfId="0" applyNumberFormat="1" applyFont="1" applyFill="1" applyBorder="1" applyAlignment="1" applyProtection="1">
      <alignment wrapText="1"/>
    </xf>
    <xf numFmtId="0" fontId="4" fillId="23" borderId="0" xfId="0" quotePrefix="1" applyFont="1" applyFill="1" applyAlignment="1" applyProtection="1">
      <alignment horizontal="left" vertical="top" wrapText="1" indent="1"/>
    </xf>
    <xf numFmtId="0" fontId="5" fillId="23" borderId="4" xfId="0" applyFont="1" applyFill="1" applyBorder="1" applyAlignment="1" applyProtection="1">
      <alignment horizontal="left" vertical="top" wrapText="1"/>
    </xf>
    <xf numFmtId="0" fontId="4" fillId="23" borderId="2" xfId="0" applyFont="1" applyFill="1" applyBorder="1" applyAlignment="1" applyProtection="1">
      <alignment horizontal="left" vertical="top" wrapText="1"/>
    </xf>
    <xf numFmtId="0" fontId="4" fillId="23" borderId="0" xfId="0" applyFont="1" applyFill="1" applyBorder="1" applyAlignment="1" applyProtection="1">
      <alignment horizontal="left" vertical="top" wrapText="1"/>
    </xf>
    <xf numFmtId="0" fontId="4" fillId="23" borderId="4" xfId="0" applyFont="1" applyFill="1" applyBorder="1" applyAlignment="1" applyProtection="1">
      <alignment horizontal="left" vertical="top" wrapText="1"/>
    </xf>
    <xf numFmtId="167" fontId="4" fillId="23" borderId="2" xfId="0" applyNumberFormat="1" applyFont="1" applyFill="1" applyBorder="1" applyAlignment="1" applyProtection="1">
      <alignment horizontal="left" vertical="top" wrapText="1"/>
    </xf>
    <xf numFmtId="167" fontId="4" fillId="23" borderId="0" xfId="0" applyNumberFormat="1" applyFont="1" applyFill="1" applyBorder="1" applyAlignment="1" applyProtection="1">
      <alignment horizontal="right" vertical="top" wrapText="1"/>
    </xf>
    <xf numFmtId="0" fontId="4" fillId="23" borderId="38" xfId="0" applyFont="1" applyFill="1" applyBorder="1" applyAlignment="1" applyProtection="1">
      <alignment horizontal="left" vertical="top" wrapText="1" indent="2"/>
    </xf>
    <xf numFmtId="0" fontId="4" fillId="23" borderId="37" xfId="0" applyFont="1" applyFill="1" applyBorder="1" applyAlignment="1" applyProtection="1">
      <alignment horizontal="left" vertical="top" wrapText="1"/>
      <protection locked="0"/>
    </xf>
    <xf numFmtId="0" fontId="4" fillId="23" borderId="38" xfId="0" applyFont="1" applyFill="1" applyBorder="1" applyAlignment="1" applyProtection="1">
      <alignment horizontal="left" vertical="top" wrapText="1"/>
      <protection locked="0"/>
    </xf>
    <xf numFmtId="167" fontId="4" fillId="23" borderId="37" xfId="0" applyNumberFormat="1" applyFont="1" applyFill="1" applyBorder="1" applyAlignment="1" applyProtection="1">
      <alignment horizontal="right" vertical="top" wrapText="1"/>
      <protection locked="0"/>
    </xf>
    <xf numFmtId="0" fontId="4" fillId="23" borderId="2" xfId="0" quotePrefix="1" applyFont="1" applyFill="1" applyBorder="1" applyAlignment="1" applyProtection="1">
      <alignment horizontal="left" vertical="top" wrapText="1" indent="2"/>
    </xf>
    <xf numFmtId="0" fontId="4" fillId="23" borderId="35" xfId="0" quotePrefix="1" applyFont="1" applyFill="1" applyBorder="1" applyAlignment="1" applyProtection="1">
      <alignment horizontal="left" vertical="top" wrapText="1" indent="1"/>
    </xf>
    <xf numFmtId="0" fontId="4" fillId="23" borderId="23" xfId="0" applyFont="1" applyFill="1" applyBorder="1" applyAlignment="1" applyProtection="1">
      <alignment horizontal="left" vertical="top" wrapText="1"/>
      <protection locked="0"/>
    </xf>
    <xf numFmtId="0" fontId="4" fillId="23" borderId="35" xfId="0" applyFont="1" applyFill="1" applyBorder="1" applyAlignment="1" applyProtection="1">
      <alignment horizontal="left" vertical="top" wrapText="1"/>
      <protection locked="0"/>
    </xf>
    <xf numFmtId="0" fontId="4" fillId="23" borderId="36" xfId="0" applyFont="1" applyFill="1" applyBorder="1" applyAlignment="1" applyProtection="1">
      <alignment horizontal="left" vertical="top" wrapText="1"/>
      <protection locked="0"/>
    </xf>
    <xf numFmtId="167" fontId="4" fillId="23" borderId="35" xfId="0" applyNumberFormat="1" applyFont="1" applyFill="1" applyBorder="1" applyAlignment="1" applyProtection="1">
      <alignment horizontal="left" vertical="top" wrapText="1"/>
      <protection locked="0"/>
    </xf>
    <xf numFmtId="167" fontId="4" fillId="23" borderId="23" xfId="0" applyNumberFormat="1" applyFont="1" applyFill="1" applyBorder="1" applyProtection="1"/>
    <xf numFmtId="0" fontId="4" fillId="23" borderId="35" xfId="0" applyFont="1" applyFill="1" applyBorder="1" applyAlignment="1" applyProtection="1">
      <alignment horizontal="left" vertical="top" wrapText="1" indent="1"/>
    </xf>
    <xf numFmtId="167" fontId="4" fillId="23" borderId="23" xfId="0" applyNumberFormat="1" applyFont="1" applyFill="1" applyBorder="1" applyAlignment="1" applyProtection="1">
      <alignment horizontal="right" vertical="top" wrapText="1"/>
      <protection locked="0"/>
    </xf>
    <xf numFmtId="0" fontId="11" fillId="23" borderId="5" xfId="0" applyFont="1" applyFill="1" applyBorder="1" applyAlignment="1" applyProtection="1">
      <alignment horizontal="left" wrapText="1" indent="1"/>
    </xf>
    <xf numFmtId="0" fontId="4" fillId="23" borderId="10" xfId="0" applyFont="1" applyFill="1" applyBorder="1" applyAlignment="1" applyProtection="1">
      <alignment horizontal="left" vertical="top" wrapText="1"/>
    </xf>
    <xf numFmtId="0" fontId="4" fillId="23" borderId="6" xfId="0" applyFont="1" applyFill="1" applyBorder="1" applyAlignment="1" applyProtection="1">
      <alignment horizontal="left" vertical="top" wrapText="1"/>
    </xf>
    <xf numFmtId="0" fontId="4" fillId="23" borderId="5" xfId="0" applyFont="1" applyFill="1" applyBorder="1" applyAlignment="1" applyProtection="1">
      <alignment horizontal="left" vertical="top" wrapText="1"/>
    </xf>
    <xf numFmtId="167" fontId="4" fillId="23" borderId="6" xfId="0" applyNumberFormat="1" applyFont="1" applyFill="1" applyBorder="1" applyAlignment="1" applyProtection="1">
      <alignment horizontal="left" vertical="top" wrapText="1"/>
    </xf>
    <xf numFmtId="0" fontId="5" fillId="23" borderId="9" xfId="0" applyFont="1" applyFill="1" applyBorder="1" applyAlignment="1" applyProtection="1">
      <alignment wrapText="1"/>
    </xf>
    <xf numFmtId="0" fontId="4" fillId="23" borderId="16" xfId="0" applyFont="1" applyFill="1" applyBorder="1" applyAlignment="1" applyProtection="1">
      <alignment horizontal="left" vertical="top" wrapText="1"/>
    </xf>
    <xf numFmtId="0" fontId="5" fillId="23" borderId="13" xfId="0" applyFont="1" applyFill="1" applyBorder="1" applyAlignment="1" applyProtection="1">
      <alignment horizontal="left" vertical="top" wrapText="1"/>
    </xf>
    <xf numFmtId="0" fontId="5" fillId="23" borderId="9" xfId="0" applyFont="1" applyFill="1" applyBorder="1" applyAlignment="1" applyProtection="1">
      <alignment horizontal="left" vertical="top" wrapText="1"/>
    </xf>
    <xf numFmtId="0" fontId="5" fillId="23" borderId="16" xfId="0" applyFont="1" applyFill="1" applyBorder="1" applyAlignment="1" applyProtection="1">
      <alignment horizontal="left" vertical="top" wrapText="1"/>
    </xf>
    <xf numFmtId="167" fontId="4" fillId="23" borderId="13" xfId="0" applyNumberFormat="1" applyFont="1" applyFill="1" applyBorder="1" applyAlignment="1" applyProtection="1">
      <alignment horizontal="left" vertical="top" wrapText="1"/>
    </xf>
    <xf numFmtId="167" fontId="5" fillId="23" borderId="9" xfId="0" applyNumberFormat="1" applyFont="1" applyFill="1" applyBorder="1" applyAlignment="1" applyProtection="1">
      <alignment horizontal="right" vertical="top" wrapText="1"/>
    </xf>
    <xf numFmtId="0" fontId="4" fillId="23" borderId="2" xfId="0" applyFont="1" applyFill="1" applyBorder="1" applyAlignment="1" applyProtection="1">
      <alignment horizontal="left" vertical="top" wrapText="1"/>
      <protection locked="0"/>
    </xf>
    <xf numFmtId="0" fontId="4" fillId="23" borderId="23" xfId="0" applyFont="1" applyFill="1" applyBorder="1" applyAlignment="1" applyProtection="1">
      <alignment horizontal="left" vertical="top" wrapText="1" indent="1"/>
    </xf>
    <xf numFmtId="0" fontId="4" fillId="23" borderId="25" xfId="0" quotePrefix="1" applyFont="1" applyFill="1" applyBorder="1" applyAlignment="1" applyProtection="1">
      <alignment horizontal="left" vertical="top" wrapText="1" indent="1"/>
    </xf>
    <xf numFmtId="0" fontId="4" fillId="23" borderId="43" xfId="0" applyFont="1" applyFill="1" applyBorder="1" applyAlignment="1" applyProtection="1">
      <alignment horizontal="left" vertical="top" wrapText="1"/>
      <protection locked="0"/>
    </xf>
    <xf numFmtId="0" fontId="4" fillId="23" borderId="26" xfId="0" applyFont="1" applyFill="1" applyBorder="1" applyAlignment="1" applyProtection="1">
      <alignment horizontal="left" vertical="top" wrapText="1"/>
      <protection locked="0"/>
    </xf>
    <xf numFmtId="0" fontId="4" fillId="23" borderId="25" xfId="0" applyFont="1" applyFill="1" applyBorder="1" applyAlignment="1" applyProtection="1">
      <alignment horizontal="left" vertical="top" wrapText="1"/>
      <protection locked="0"/>
    </xf>
    <xf numFmtId="167" fontId="4" fillId="23" borderId="26" xfId="0" applyNumberFormat="1" applyFont="1" applyFill="1" applyBorder="1" applyAlignment="1" applyProtection="1">
      <alignment horizontal="left" vertical="top" wrapText="1"/>
      <protection locked="0"/>
    </xf>
    <xf numFmtId="167" fontId="4" fillId="23" borderId="43" xfId="0" applyNumberFormat="1" applyFont="1" applyFill="1" applyBorder="1" applyAlignment="1" applyProtection="1">
      <alignment vertical="top"/>
    </xf>
    <xf numFmtId="167" fontId="4" fillId="23" borderId="25" xfId="0" applyNumberFormat="1" applyFont="1" applyFill="1" applyBorder="1" applyAlignment="1" applyProtection="1">
      <alignment vertical="top"/>
    </xf>
    <xf numFmtId="0" fontId="4" fillId="23" borderId="37" xfId="0" quotePrefix="1" applyFont="1" applyFill="1" applyBorder="1" applyAlignment="1" applyProtection="1">
      <alignment horizontal="left" vertical="top" wrapText="1" indent="2"/>
    </xf>
    <xf numFmtId="0" fontId="4" fillId="23" borderId="40" xfId="0" quotePrefix="1" applyFont="1" applyFill="1" applyBorder="1" applyAlignment="1" applyProtection="1">
      <alignment horizontal="left" vertical="top" wrapText="1" indent="2"/>
    </xf>
    <xf numFmtId="0" fontId="4" fillId="23" borderId="41" xfId="0" applyFont="1" applyFill="1" applyBorder="1" applyAlignment="1" applyProtection="1">
      <alignment horizontal="left" vertical="top" wrapText="1"/>
      <protection locked="0"/>
    </xf>
    <xf numFmtId="0" fontId="4" fillId="23" borderId="42" xfId="0" applyFont="1" applyFill="1" applyBorder="1" applyAlignment="1" applyProtection="1">
      <alignment horizontal="left" vertical="top" wrapText="1"/>
      <protection locked="0"/>
    </xf>
    <xf numFmtId="0" fontId="4" fillId="23" borderId="40" xfId="0" applyFont="1" applyFill="1" applyBorder="1" applyAlignment="1" applyProtection="1">
      <alignment horizontal="left" vertical="top" wrapText="1"/>
      <protection locked="0"/>
    </xf>
    <xf numFmtId="167" fontId="4" fillId="23" borderId="42" xfId="0" applyNumberFormat="1" applyFont="1" applyFill="1" applyBorder="1" applyAlignment="1" applyProtection="1">
      <alignment horizontal="left" vertical="top" wrapText="1"/>
      <protection locked="0"/>
    </xf>
    <xf numFmtId="167" fontId="4" fillId="23" borderId="40" xfId="0" applyNumberFormat="1" applyFont="1" applyFill="1" applyBorder="1" applyAlignment="1" applyProtection="1">
      <alignment vertical="top"/>
    </xf>
    <xf numFmtId="0" fontId="16" fillId="23" borderId="2" xfId="0" applyFont="1" applyFill="1" applyBorder="1" applyAlignment="1" applyProtection="1">
      <alignment horizontal="left" vertical="top" wrapText="1" indent="1"/>
      <protection locked="0"/>
    </xf>
    <xf numFmtId="0" fontId="4" fillId="23" borderId="0" xfId="0" applyFont="1" applyFill="1" applyBorder="1" applyProtection="1"/>
    <xf numFmtId="0" fontId="5" fillId="23" borderId="9" xfId="0" applyFont="1" applyFill="1" applyBorder="1" applyAlignment="1" applyProtection="1">
      <alignment horizontal="left" wrapText="1"/>
    </xf>
    <xf numFmtId="0" fontId="4" fillId="23" borderId="13" xfId="0" applyFont="1" applyFill="1" applyBorder="1" applyAlignment="1" applyProtection="1">
      <alignment horizontal="left" vertical="top" wrapText="1"/>
    </xf>
    <xf numFmtId="0" fontId="4" fillId="23" borderId="9" xfId="0" applyFont="1" applyFill="1" applyBorder="1" applyAlignment="1" applyProtection="1">
      <alignment horizontal="left" vertical="top" wrapText="1"/>
    </xf>
    <xf numFmtId="0" fontId="10" fillId="23" borderId="0" xfId="0" applyFont="1" applyFill="1" applyAlignment="1" applyProtection="1">
      <alignment horizontal="left" wrapText="1" indent="2"/>
    </xf>
    <xf numFmtId="9" fontId="10" fillId="23" borderId="0" xfId="0" applyNumberFormat="1" applyFont="1" applyFill="1" applyAlignment="1" applyProtection="1">
      <alignment horizontal="right" vertical="top"/>
    </xf>
    <xf numFmtId="0" fontId="4" fillId="23" borderId="0" xfId="0" applyFont="1" applyFill="1"/>
    <xf numFmtId="0" fontId="7" fillId="23" borderId="0" xfId="0" applyFont="1" applyFill="1"/>
    <xf numFmtId="0" fontId="5" fillId="23" borderId="0" xfId="0" applyFont="1" applyFill="1" applyAlignment="1">
      <alignment horizontal="center"/>
    </xf>
    <xf numFmtId="0" fontId="4" fillId="23" borderId="0" xfId="0" applyFont="1" applyFill="1" applyAlignment="1">
      <alignment wrapText="1"/>
    </xf>
    <xf numFmtId="6" fontId="4" fillId="23" borderId="0" xfId="0" applyNumberFormat="1" applyFont="1" applyFill="1"/>
    <xf numFmtId="0" fontId="5" fillId="23" borderId="0" xfId="0" applyFont="1" applyFill="1"/>
    <xf numFmtId="0" fontId="5" fillId="23" borderId="0" xfId="0" applyFont="1" applyFill="1" applyAlignment="1">
      <alignment wrapText="1"/>
    </xf>
    <xf numFmtId="0" fontId="5" fillId="23" borderId="0" xfId="0" applyFont="1" applyFill="1" applyAlignment="1">
      <alignment horizontal="center" wrapText="1"/>
    </xf>
    <xf numFmtId="0" fontId="5" fillId="23" borderId="0" xfId="0" applyFont="1" applyFill="1" applyAlignment="1">
      <alignment vertical="center" wrapText="1"/>
    </xf>
    <xf numFmtId="0" fontId="4" fillId="0" borderId="36" xfId="0" applyFont="1" applyFill="1" applyBorder="1" applyAlignment="1" applyProtection="1">
      <alignment horizontal="left" vertical="top" wrapText="1" indent="1"/>
      <protection locked="0"/>
    </xf>
    <xf numFmtId="0" fontId="4" fillId="24" borderId="0" xfId="0" applyFont="1" applyFill="1" applyProtection="1"/>
    <xf numFmtId="0" fontId="6" fillId="24" borderId="0" xfId="0" quotePrefix="1" applyFont="1" applyFill="1" applyProtection="1"/>
    <xf numFmtId="0" fontId="4" fillId="24" borderId="0" xfId="0" quotePrefix="1" applyFont="1" applyFill="1" applyProtection="1"/>
    <xf numFmtId="0" fontId="4" fillId="24" borderId="0" xfId="0" applyFont="1" applyFill="1" applyAlignment="1" applyProtection="1">
      <alignment horizontal="right"/>
    </xf>
    <xf numFmtId="49" fontId="4" fillId="24" borderId="0" xfId="0" applyNumberFormat="1" applyFont="1" applyFill="1" applyProtection="1"/>
    <xf numFmtId="0" fontId="5" fillId="24" borderId="0" xfId="0" quotePrefix="1" applyFont="1" applyFill="1" applyProtection="1"/>
    <xf numFmtId="166" fontId="4" fillId="24" borderId="0" xfId="0" applyNumberFormat="1" applyFont="1" applyFill="1" applyAlignment="1" applyProtection="1">
      <alignment horizontal="left"/>
    </xf>
    <xf numFmtId="0" fontId="22" fillId="24" borderId="0" xfId="0" applyFont="1" applyFill="1" applyProtection="1"/>
    <xf numFmtId="0" fontId="4" fillId="24" borderId="0" xfId="0" quotePrefix="1" applyFont="1" applyFill="1" applyAlignment="1" applyProtection="1"/>
    <xf numFmtId="0" fontId="5" fillId="24" borderId="6" xfId="0" applyFont="1" applyFill="1" applyBorder="1" applyProtection="1"/>
    <xf numFmtId="0" fontId="5" fillId="24" borderId="10" xfId="0" applyFont="1" applyFill="1" applyBorder="1" applyAlignment="1" applyProtection="1">
      <alignment wrapText="1"/>
    </xf>
    <xf numFmtId="0" fontId="5" fillId="24" borderId="6" xfId="0" applyFont="1" applyFill="1" applyBorder="1" applyAlignment="1" applyProtection="1">
      <alignment wrapText="1"/>
    </xf>
    <xf numFmtId="0" fontId="5" fillId="24" borderId="5" xfId="0" applyFont="1" applyFill="1" applyBorder="1" applyAlignment="1" applyProtection="1">
      <alignment wrapText="1"/>
    </xf>
    <xf numFmtId="0" fontId="5" fillId="24" borderId="10" xfId="0" applyFont="1" applyFill="1" applyBorder="1" applyAlignment="1" applyProtection="1">
      <alignment horizontal="center" wrapText="1"/>
    </xf>
    <xf numFmtId="0" fontId="5" fillId="24" borderId="5" xfId="0" applyFont="1" applyFill="1" applyBorder="1" applyAlignment="1" applyProtection="1">
      <alignment horizontal="right"/>
    </xf>
    <xf numFmtId="0" fontId="5" fillId="24" borderId="0" xfId="0" applyFont="1" applyFill="1" applyAlignment="1" applyProtection="1">
      <alignment wrapText="1"/>
    </xf>
    <xf numFmtId="0" fontId="5" fillId="24" borderId="4" xfId="0" applyFont="1" applyFill="1" applyBorder="1" applyAlignment="1" applyProtection="1">
      <alignment wrapText="1"/>
    </xf>
    <xf numFmtId="0" fontId="5" fillId="24" borderId="2" xfId="0" applyFont="1" applyFill="1" applyBorder="1" applyAlignment="1" applyProtection="1">
      <alignment wrapText="1"/>
    </xf>
    <xf numFmtId="0" fontId="5" fillId="24" borderId="0" xfId="0" applyFont="1" applyFill="1" applyBorder="1" applyAlignment="1" applyProtection="1">
      <alignment wrapText="1"/>
    </xf>
    <xf numFmtId="167" fontId="4" fillId="24" borderId="2" xfId="0" applyNumberFormat="1" applyFont="1" applyFill="1" applyBorder="1" applyAlignment="1" applyProtection="1">
      <alignment wrapText="1"/>
    </xf>
    <xf numFmtId="0" fontId="4" fillId="24" borderId="0" xfId="0" quotePrefix="1" applyFont="1" applyFill="1" applyAlignment="1" applyProtection="1">
      <alignment horizontal="left" vertical="top" wrapText="1" indent="1"/>
    </xf>
    <xf numFmtId="0" fontId="5" fillId="24" borderId="4" xfId="0" applyFont="1" applyFill="1" applyBorder="1" applyAlignment="1" applyProtection="1">
      <alignment horizontal="left" vertical="top" wrapText="1"/>
    </xf>
    <xf numFmtId="0" fontId="4" fillId="24" borderId="2" xfId="0" applyFont="1" applyFill="1" applyBorder="1" applyAlignment="1" applyProtection="1">
      <alignment horizontal="left" vertical="top" wrapText="1"/>
    </xf>
    <xf numFmtId="0" fontId="4" fillId="24" borderId="0" xfId="0" applyFont="1" applyFill="1" applyBorder="1" applyAlignment="1" applyProtection="1">
      <alignment horizontal="left" vertical="top" wrapText="1"/>
    </xf>
    <xf numFmtId="0" fontId="4" fillId="24" borderId="4" xfId="0" applyFont="1" applyFill="1" applyBorder="1" applyAlignment="1" applyProtection="1">
      <alignment horizontal="left" vertical="top" wrapText="1"/>
    </xf>
    <xf numFmtId="167" fontId="4" fillId="24" borderId="2" xfId="0" applyNumberFormat="1" applyFont="1" applyFill="1" applyBorder="1" applyAlignment="1" applyProtection="1">
      <alignment horizontal="left" vertical="top" wrapText="1"/>
    </xf>
    <xf numFmtId="0" fontId="4" fillId="24" borderId="38" xfId="0" applyFont="1" applyFill="1" applyBorder="1" applyAlignment="1" applyProtection="1">
      <alignment horizontal="left" vertical="top" wrapText="1" indent="2"/>
    </xf>
    <xf numFmtId="0" fontId="4" fillId="24" borderId="37" xfId="0" applyFont="1" applyFill="1" applyBorder="1" applyAlignment="1" applyProtection="1">
      <alignment horizontal="left" vertical="top" wrapText="1"/>
      <protection locked="0"/>
    </xf>
    <xf numFmtId="0" fontId="4" fillId="24" borderId="38" xfId="0" applyFont="1" applyFill="1" applyBorder="1" applyAlignment="1" applyProtection="1">
      <alignment horizontal="left" vertical="top" wrapText="1"/>
      <protection locked="0"/>
    </xf>
    <xf numFmtId="0" fontId="4" fillId="24" borderId="2" xfId="0" quotePrefix="1" applyFont="1" applyFill="1" applyBorder="1" applyAlignment="1" applyProtection="1">
      <alignment horizontal="left" vertical="top" wrapText="1" indent="2"/>
    </xf>
    <xf numFmtId="167" fontId="4" fillId="24" borderId="4" xfId="0" applyNumberFormat="1" applyFont="1" applyFill="1" applyBorder="1" applyProtection="1"/>
    <xf numFmtId="0" fontId="4" fillId="24" borderId="35" xfId="0" quotePrefix="1" applyFont="1" applyFill="1" applyBorder="1" applyAlignment="1" applyProtection="1">
      <alignment horizontal="left" vertical="top" wrapText="1" indent="1"/>
    </xf>
    <xf numFmtId="0" fontId="4" fillId="24" borderId="23" xfId="0" applyFont="1" applyFill="1" applyBorder="1" applyAlignment="1" applyProtection="1">
      <alignment horizontal="left" vertical="top" wrapText="1"/>
      <protection locked="0"/>
    </xf>
    <xf numFmtId="0" fontId="4" fillId="24" borderId="35" xfId="0" applyFont="1" applyFill="1" applyBorder="1" applyAlignment="1" applyProtection="1">
      <alignment horizontal="left" vertical="top" wrapText="1"/>
      <protection locked="0"/>
    </xf>
    <xf numFmtId="0" fontId="4" fillId="24" borderId="36" xfId="0" applyFont="1" applyFill="1" applyBorder="1" applyAlignment="1" applyProtection="1">
      <alignment horizontal="left" vertical="top" wrapText="1"/>
      <protection locked="0"/>
    </xf>
    <xf numFmtId="167" fontId="4" fillId="24" borderId="35" xfId="0" applyNumberFormat="1" applyFont="1" applyFill="1" applyBorder="1" applyAlignment="1" applyProtection="1">
      <alignment horizontal="left" vertical="top" wrapText="1"/>
      <protection locked="0"/>
    </xf>
    <xf numFmtId="0" fontId="4" fillId="24" borderId="35" xfId="0" applyFont="1" applyFill="1" applyBorder="1" applyAlignment="1" applyProtection="1">
      <alignment horizontal="left" vertical="top" wrapText="1" indent="1"/>
    </xf>
    <xf numFmtId="0" fontId="11" fillId="24" borderId="5" xfId="0" applyFont="1" applyFill="1" applyBorder="1" applyAlignment="1" applyProtection="1">
      <alignment horizontal="left" wrapText="1" indent="1"/>
    </xf>
    <xf numFmtId="0" fontId="4" fillId="24" borderId="10" xfId="0" applyFont="1" applyFill="1" applyBorder="1" applyAlignment="1" applyProtection="1">
      <alignment horizontal="left" vertical="top" wrapText="1"/>
    </xf>
    <xf numFmtId="0" fontId="4" fillId="24" borderId="6" xfId="0" applyFont="1" applyFill="1" applyBorder="1" applyAlignment="1" applyProtection="1">
      <alignment horizontal="left" vertical="top" wrapText="1"/>
    </xf>
    <xf numFmtId="0" fontId="4" fillId="24" borderId="5" xfId="0" applyFont="1" applyFill="1" applyBorder="1" applyAlignment="1" applyProtection="1">
      <alignment horizontal="left" vertical="top" wrapText="1"/>
    </xf>
    <xf numFmtId="167" fontId="4" fillId="24" borderId="6" xfId="0" applyNumberFormat="1" applyFont="1" applyFill="1" applyBorder="1" applyAlignment="1" applyProtection="1">
      <alignment horizontal="left" vertical="top" wrapText="1"/>
    </xf>
    <xf numFmtId="0" fontId="5" fillId="24" borderId="9" xfId="0" applyFont="1" applyFill="1" applyBorder="1" applyAlignment="1" applyProtection="1">
      <alignment wrapText="1"/>
    </xf>
    <xf numFmtId="0" fontId="4" fillId="24" borderId="16" xfId="0" applyFont="1" applyFill="1" applyBorder="1" applyAlignment="1" applyProtection="1">
      <alignment horizontal="left" vertical="top" wrapText="1"/>
    </xf>
    <xf numFmtId="0" fontId="5" fillId="24" borderId="13" xfId="0" applyFont="1" applyFill="1" applyBorder="1" applyAlignment="1" applyProtection="1">
      <alignment horizontal="left" vertical="top" wrapText="1"/>
    </xf>
    <xf numFmtId="0" fontId="5" fillId="24" borderId="9" xfId="0" applyFont="1" applyFill="1" applyBorder="1" applyAlignment="1" applyProtection="1">
      <alignment horizontal="left" vertical="top" wrapText="1"/>
    </xf>
    <xf numFmtId="0" fontId="5" fillId="24" borderId="16" xfId="0" applyFont="1" applyFill="1" applyBorder="1" applyAlignment="1" applyProtection="1">
      <alignment horizontal="left" vertical="top" wrapText="1"/>
    </xf>
    <xf numFmtId="167" fontId="4" fillId="24" borderId="13" xfId="0" applyNumberFormat="1" applyFont="1" applyFill="1" applyBorder="1" applyAlignment="1" applyProtection="1">
      <alignment horizontal="left" vertical="top" wrapText="1"/>
    </xf>
    <xf numFmtId="0" fontId="4" fillId="24" borderId="23" xfId="0" applyFont="1" applyFill="1" applyBorder="1" applyAlignment="1" applyProtection="1">
      <alignment horizontal="left" vertical="top" wrapText="1" indent="1"/>
    </xf>
    <xf numFmtId="167" fontId="4" fillId="24" borderId="36" xfId="0" applyNumberFormat="1" applyFont="1" applyFill="1" applyBorder="1" applyProtection="1"/>
    <xf numFmtId="0" fontId="4" fillId="24" borderId="25" xfId="0" quotePrefix="1" applyFont="1" applyFill="1" applyBorder="1" applyAlignment="1" applyProtection="1">
      <alignment horizontal="left" vertical="top" wrapText="1" indent="1"/>
    </xf>
    <xf numFmtId="0" fontId="4" fillId="24" borderId="43" xfId="0" applyFont="1" applyFill="1" applyBorder="1" applyAlignment="1" applyProtection="1">
      <alignment horizontal="left" vertical="top" wrapText="1"/>
      <protection locked="0"/>
    </xf>
    <xf numFmtId="0" fontId="4" fillId="24" borderId="26" xfId="0" applyFont="1" applyFill="1" applyBorder="1" applyAlignment="1" applyProtection="1">
      <alignment horizontal="left" vertical="top" wrapText="1"/>
      <protection locked="0"/>
    </xf>
    <xf numFmtId="0" fontId="4" fillId="24" borderId="25" xfId="0" applyFont="1" applyFill="1" applyBorder="1" applyAlignment="1" applyProtection="1">
      <alignment horizontal="left" vertical="top" wrapText="1"/>
      <protection locked="0"/>
    </xf>
    <xf numFmtId="167" fontId="4" fillId="24" borderId="26" xfId="0" applyNumberFormat="1" applyFont="1" applyFill="1" applyBorder="1" applyAlignment="1" applyProtection="1">
      <alignment horizontal="left" vertical="top" wrapText="1"/>
      <protection locked="0"/>
    </xf>
    <xf numFmtId="167" fontId="4" fillId="24" borderId="43" xfId="0" applyNumberFormat="1" applyFont="1" applyFill="1" applyBorder="1" applyAlignment="1" applyProtection="1">
      <alignment vertical="top"/>
    </xf>
    <xf numFmtId="0" fontId="4" fillId="24" borderId="37" xfId="0" quotePrefix="1" applyFont="1" applyFill="1" applyBorder="1" applyAlignment="1" applyProtection="1">
      <alignment horizontal="left" vertical="top" wrapText="1" indent="2"/>
    </xf>
    <xf numFmtId="0" fontId="4" fillId="24" borderId="40" xfId="0" quotePrefix="1" applyFont="1" applyFill="1" applyBorder="1" applyAlignment="1" applyProtection="1">
      <alignment horizontal="left" vertical="top" wrapText="1" indent="2"/>
    </xf>
    <xf numFmtId="0" fontId="4" fillId="24" borderId="41" xfId="0" applyFont="1" applyFill="1" applyBorder="1" applyAlignment="1" applyProtection="1">
      <alignment horizontal="left" vertical="top" wrapText="1"/>
      <protection locked="0"/>
    </xf>
    <xf numFmtId="0" fontId="4" fillId="24" borderId="42" xfId="0" applyFont="1" applyFill="1" applyBorder="1" applyAlignment="1" applyProtection="1">
      <alignment horizontal="left" vertical="top" wrapText="1"/>
      <protection locked="0"/>
    </xf>
    <xf numFmtId="0" fontId="4" fillId="24" borderId="40" xfId="0" applyFont="1" applyFill="1" applyBorder="1" applyAlignment="1" applyProtection="1">
      <alignment horizontal="left" vertical="top" wrapText="1"/>
      <protection locked="0"/>
    </xf>
    <xf numFmtId="167" fontId="4" fillId="24" borderId="42" xfId="0" applyNumberFormat="1" applyFont="1" applyFill="1" applyBorder="1" applyAlignment="1" applyProtection="1">
      <alignment horizontal="left" vertical="top" wrapText="1"/>
      <protection locked="0"/>
    </xf>
    <xf numFmtId="0" fontId="4" fillId="24" borderId="2" xfId="0" applyFont="1" applyFill="1" applyBorder="1" applyAlignment="1" applyProtection="1">
      <alignment horizontal="left" vertical="top" wrapText="1"/>
      <protection locked="0"/>
    </xf>
    <xf numFmtId="0" fontId="4" fillId="24" borderId="0" xfId="0" applyFont="1" applyFill="1" applyBorder="1" applyProtection="1"/>
    <xf numFmtId="0" fontId="5" fillId="24" borderId="9" xfId="0" applyFont="1" applyFill="1" applyBorder="1" applyAlignment="1" applyProtection="1">
      <alignment horizontal="left" wrapText="1"/>
    </xf>
    <xf numFmtId="0" fontId="4" fillId="24" borderId="13" xfId="0" applyFont="1" applyFill="1" applyBorder="1" applyAlignment="1" applyProtection="1">
      <alignment horizontal="left" vertical="top" wrapText="1"/>
    </xf>
    <xf numFmtId="0" fontId="4" fillId="24" borderId="9" xfId="0" applyFont="1" applyFill="1" applyBorder="1" applyAlignment="1" applyProtection="1">
      <alignment horizontal="left" vertical="top" wrapText="1"/>
    </xf>
    <xf numFmtId="167" fontId="10" fillId="24" borderId="16" xfId="0" applyNumberFormat="1" applyFont="1" applyFill="1" applyBorder="1" applyAlignment="1" applyProtection="1">
      <alignment horizontal="right" vertical="top" wrapText="1"/>
    </xf>
    <xf numFmtId="0" fontId="4" fillId="24" borderId="0" xfId="0" applyFont="1" applyFill="1"/>
    <xf numFmtId="0" fontId="7" fillId="24" borderId="0" xfId="0" applyFont="1" applyFill="1"/>
    <xf numFmtId="0" fontId="5" fillId="24" borderId="0" xfId="0" applyFont="1" applyFill="1" applyAlignment="1">
      <alignment horizontal="center"/>
    </xf>
    <xf numFmtId="0" fontId="5" fillId="24" borderId="0" xfId="0" applyFont="1" applyFill="1" applyAlignment="1">
      <alignment horizontal="left"/>
    </xf>
    <xf numFmtId="0" fontId="5" fillId="24" borderId="0" xfId="0" applyFont="1" applyFill="1" applyAlignment="1">
      <alignment horizontal="right"/>
    </xf>
    <xf numFmtId="0" fontId="4" fillId="24" borderId="0" xfId="0" applyFont="1" applyFill="1" applyAlignment="1">
      <alignment wrapText="1"/>
    </xf>
    <xf numFmtId="6" fontId="4" fillId="24" borderId="0" xfId="0" applyNumberFormat="1" applyFont="1" applyFill="1"/>
    <xf numFmtId="0" fontId="5" fillId="24" borderId="0" xfId="0" applyFont="1" applyFill="1"/>
    <xf numFmtId="0" fontId="5" fillId="24" borderId="0" xfId="0" applyFont="1" applyFill="1" applyAlignment="1">
      <alignment wrapText="1"/>
    </xf>
    <xf numFmtId="0" fontId="5" fillId="24" borderId="0" xfId="0" applyFont="1" applyFill="1" applyAlignment="1">
      <alignment horizontal="center" wrapText="1"/>
    </xf>
    <xf numFmtId="0" fontId="5" fillId="24" borderId="0" xfId="0" applyFont="1" applyFill="1" applyAlignment="1">
      <alignment vertical="center" wrapText="1"/>
    </xf>
    <xf numFmtId="0" fontId="5" fillId="23" borderId="6" xfId="0" applyFont="1" applyFill="1" applyBorder="1" applyAlignment="1" applyProtection="1">
      <alignment horizontal="center" wrapText="1"/>
    </xf>
    <xf numFmtId="0" fontId="5" fillId="20" borderId="4" xfId="0" quotePrefix="1" applyFont="1" applyFill="1" applyBorder="1" applyAlignment="1" applyProtection="1">
      <alignment horizontal="left" indent="1"/>
    </xf>
    <xf numFmtId="0" fontId="4" fillId="0" borderId="4" xfId="0" applyFont="1" applyFill="1" applyBorder="1" applyProtection="1"/>
    <xf numFmtId="167" fontId="4" fillId="24" borderId="0" xfId="0" applyNumberFormat="1" applyFont="1" applyFill="1" applyBorder="1" applyAlignment="1" applyProtection="1">
      <alignment wrapText="1"/>
    </xf>
    <xf numFmtId="167" fontId="4" fillId="24" borderId="0" xfId="0" applyNumberFormat="1" applyFont="1" applyFill="1" applyBorder="1" applyAlignment="1" applyProtection="1">
      <alignment horizontal="left" vertical="top" wrapText="1"/>
    </xf>
    <xf numFmtId="167" fontId="4" fillId="0" borderId="37" xfId="0" applyNumberFormat="1" applyFont="1" applyFill="1" applyBorder="1" applyAlignment="1" applyProtection="1">
      <alignment horizontal="left" vertical="top" wrapText="1"/>
      <protection locked="0"/>
    </xf>
    <xf numFmtId="167" fontId="4" fillId="0" borderId="23" xfId="0" applyNumberFormat="1" applyFont="1" applyFill="1" applyBorder="1" applyAlignment="1" applyProtection="1">
      <alignment horizontal="left" vertical="top" wrapText="1"/>
      <protection locked="0"/>
    </xf>
    <xf numFmtId="167" fontId="4" fillId="24" borderId="5" xfId="0" applyNumberFormat="1" applyFont="1" applyFill="1" applyBorder="1" applyAlignment="1" applyProtection="1">
      <alignment horizontal="left" vertical="top" wrapText="1"/>
    </xf>
    <xf numFmtId="167" fontId="4" fillId="24" borderId="9" xfId="0" applyNumberFormat="1" applyFont="1" applyFill="1" applyBorder="1" applyAlignment="1" applyProtection="1">
      <alignment horizontal="left" vertical="top" wrapText="1"/>
    </xf>
    <xf numFmtId="167" fontId="4" fillId="24" borderId="23" xfId="0" applyNumberFormat="1" applyFont="1" applyFill="1" applyBorder="1" applyAlignment="1" applyProtection="1">
      <alignment horizontal="left" vertical="top" wrapText="1"/>
      <protection locked="0"/>
    </xf>
    <xf numFmtId="167" fontId="4" fillId="24" borderId="25" xfId="0" applyNumberFormat="1" applyFont="1" applyFill="1" applyBorder="1" applyAlignment="1" applyProtection="1">
      <alignment horizontal="left" vertical="top" wrapText="1"/>
      <protection locked="0"/>
    </xf>
    <xf numFmtId="167" fontId="4" fillId="24" borderId="40" xfId="0" applyNumberFormat="1" applyFont="1" applyFill="1" applyBorder="1" applyAlignment="1" applyProtection="1">
      <alignment horizontal="left" vertical="top" wrapText="1"/>
      <protection locked="0"/>
    </xf>
    <xf numFmtId="167" fontId="4" fillId="0" borderId="0" xfId="0" applyNumberFormat="1" applyFont="1" applyFill="1" applyBorder="1" applyAlignment="1" applyProtection="1">
      <alignment horizontal="left" vertical="top" wrapText="1"/>
      <protection locked="0"/>
    </xf>
    <xf numFmtId="167" fontId="5" fillId="24" borderId="4" xfId="0" applyNumberFormat="1" applyFont="1" applyFill="1" applyBorder="1" applyAlignment="1" applyProtection="1">
      <alignment horizontal="right" wrapText="1"/>
    </xf>
    <xf numFmtId="167" fontId="4" fillId="24" borderId="4" xfId="0" applyNumberFormat="1" applyFont="1" applyFill="1" applyBorder="1" applyAlignment="1" applyProtection="1">
      <alignment horizontal="right" vertical="top" wrapText="1"/>
    </xf>
    <xf numFmtId="167" fontId="10" fillId="24" borderId="10" xfId="0" applyNumberFormat="1" applyFont="1" applyFill="1" applyBorder="1" applyAlignment="1" applyProtection="1">
      <alignment horizontal="right" vertical="top" wrapText="1"/>
    </xf>
    <xf numFmtId="167" fontId="5" fillId="24" borderId="16" xfId="0" applyNumberFormat="1" applyFont="1" applyFill="1" applyBorder="1" applyAlignment="1" applyProtection="1">
      <alignment horizontal="right" vertical="top" wrapText="1"/>
    </xf>
    <xf numFmtId="167" fontId="4" fillId="24" borderId="41" xfId="0" applyNumberFormat="1" applyFont="1" applyFill="1" applyBorder="1" applyAlignment="1" applyProtection="1">
      <alignment vertical="top"/>
    </xf>
    <xf numFmtId="0" fontId="4" fillId="24" borderId="10" xfId="0" applyFont="1" applyFill="1" applyBorder="1" applyAlignment="1" applyProtection="1">
      <alignment wrapText="1"/>
    </xf>
    <xf numFmtId="0" fontId="4" fillId="0" borderId="36" xfId="0" applyFont="1" applyFill="1" applyBorder="1" applyProtection="1"/>
    <xf numFmtId="0" fontId="19" fillId="24" borderId="0" xfId="1" applyFont="1" applyFill="1" applyAlignment="1" applyProtection="1"/>
    <xf numFmtId="167" fontId="5" fillId="24" borderId="9" xfId="0" applyNumberFormat="1" applyFont="1" applyFill="1" applyBorder="1" applyAlignment="1" applyProtection="1">
      <alignment horizontal="left" vertical="top" wrapText="1"/>
    </xf>
    <xf numFmtId="0" fontId="34" fillId="24" borderId="0" xfId="0" applyFont="1" applyFill="1" applyProtection="1"/>
    <xf numFmtId="0" fontId="30" fillId="24" borderId="0" xfId="0" applyFont="1" applyFill="1" applyProtection="1"/>
    <xf numFmtId="0" fontId="30" fillId="23" borderId="0" xfId="0" applyFont="1" applyFill="1" applyProtection="1"/>
    <xf numFmtId="0" fontId="30" fillId="23" borderId="0" xfId="0" applyFont="1" applyFill="1"/>
    <xf numFmtId="0" fontId="22" fillId="23" borderId="0" xfId="0" applyFont="1" applyFill="1" applyAlignment="1" applyProtection="1">
      <alignment horizontal="left"/>
    </xf>
    <xf numFmtId="0" fontId="34" fillId="23" borderId="0" xfId="0" applyFont="1" applyFill="1" applyAlignment="1" applyProtection="1">
      <alignment horizontal="left"/>
    </xf>
    <xf numFmtId="166" fontId="0" fillId="7" borderId="0" xfId="0" applyNumberFormat="1" applyFill="1" applyBorder="1" applyAlignment="1" applyProtection="1">
      <alignment horizontal="left" vertical="top" wrapText="1"/>
    </xf>
    <xf numFmtId="0" fontId="0" fillId="0" borderId="0" xfId="0" applyFill="1" applyBorder="1" applyAlignment="1" applyProtection="1">
      <alignment horizontal="left" wrapText="1"/>
      <protection locked="0"/>
    </xf>
    <xf numFmtId="166" fontId="0" fillId="7" borderId="33" xfId="0" applyNumberFormat="1" applyFill="1" applyBorder="1" applyAlignment="1" applyProtection="1">
      <alignment horizontal="left" vertical="top" wrapText="1"/>
    </xf>
    <xf numFmtId="0" fontId="4" fillId="0" borderId="31" xfId="0" applyFont="1" applyFill="1" applyBorder="1" applyAlignment="1" applyProtection="1">
      <alignment vertical="top" wrapText="1"/>
      <protection locked="0"/>
    </xf>
    <xf numFmtId="166" fontId="0" fillId="7" borderId="34" xfId="0" applyNumberFormat="1" applyFill="1" applyBorder="1" applyAlignment="1" applyProtection="1">
      <alignment horizontal="left" vertical="top" wrapText="1"/>
    </xf>
    <xf numFmtId="0" fontId="4" fillId="21" borderId="24" xfId="0" applyFont="1" applyFill="1" applyBorder="1" applyAlignment="1" applyProtection="1">
      <alignment vertical="top" wrapText="1"/>
      <protection locked="0"/>
    </xf>
    <xf numFmtId="0" fontId="4" fillId="21" borderId="24" xfId="0" applyFont="1" applyFill="1" applyBorder="1" applyAlignment="1" applyProtection="1">
      <alignment vertical="top" wrapText="1"/>
    </xf>
    <xf numFmtId="0" fontId="4" fillId="0" borderId="24" xfId="0" applyFont="1" applyFill="1" applyBorder="1" applyAlignment="1" applyProtection="1">
      <alignment vertical="top" wrapText="1"/>
    </xf>
    <xf numFmtId="0" fontId="4" fillId="0" borderId="24" xfId="0" applyFont="1" applyFill="1" applyBorder="1" applyAlignment="1">
      <alignment vertical="top" wrapText="1"/>
    </xf>
    <xf numFmtId="166" fontId="0" fillId="7" borderId="12" xfId="0" applyNumberFormat="1" applyFill="1" applyBorder="1" applyAlignment="1" applyProtection="1">
      <alignment horizontal="left" vertical="top" wrapText="1"/>
    </xf>
    <xf numFmtId="168" fontId="0" fillId="7" borderId="0" xfId="0" applyNumberFormat="1" applyFill="1" applyAlignment="1" applyProtection="1">
      <alignment horizontal="right" vertical="top" wrapText="1"/>
      <protection locked="0"/>
    </xf>
    <xf numFmtId="0" fontId="14" fillId="25" borderId="0" xfId="0" applyFont="1" applyFill="1"/>
    <xf numFmtId="0" fontId="4" fillId="25" borderId="0" xfId="0" applyFont="1" applyFill="1" applyBorder="1" applyAlignment="1">
      <alignment horizontal="left" vertical="top" wrapText="1"/>
    </xf>
    <xf numFmtId="2" fontId="4" fillId="25" borderId="0" xfId="0" applyNumberFormat="1" applyFont="1" applyFill="1" applyAlignment="1">
      <alignment vertical="top"/>
    </xf>
    <xf numFmtId="0" fontId="0" fillId="25" borderId="0" xfId="0" applyFont="1" applyFill="1"/>
    <xf numFmtId="0" fontId="5" fillId="25" borderId="5" xfId="0" applyFont="1" applyFill="1" applyBorder="1"/>
    <xf numFmtId="0" fontId="5" fillId="25" borderId="10" xfId="0" applyFont="1" applyFill="1" applyBorder="1" applyAlignment="1">
      <alignment horizontal="left" vertical="top"/>
    </xf>
    <xf numFmtId="0" fontId="5" fillId="25" borderId="6" xfId="0" applyFont="1" applyFill="1" applyBorder="1" applyAlignment="1">
      <alignment horizontal="left" vertical="top"/>
    </xf>
    <xf numFmtId="0" fontId="4" fillId="25" borderId="16" xfId="0" applyFont="1" applyFill="1" applyBorder="1" applyAlignment="1">
      <alignment horizontal="left" vertical="top" wrapText="1"/>
    </xf>
    <xf numFmtId="0" fontId="4" fillId="25" borderId="13" xfId="0" applyFont="1" applyFill="1" applyBorder="1" applyAlignment="1">
      <alignment horizontal="left" vertical="top" wrapText="1"/>
    </xf>
    <xf numFmtId="0" fontId="4" fillId="25" borderId="0" xfId="0" applyFont="1" applyFill="1" applyBorder="1" applyAlignment="1">
      <alignment vertical="top" wrapText="1"/>
    </xf>
    <xf numFmtId="0" fontId="4" fillId="25" borderId="0" xfId="0" applyFont="1" applyFill="1" applyAlignment="1">
      <alignment horizontal="left" vertical="top" wrapText="1"/>
    </xf>
    <xf numFmtId="0" fontId="4" fillId="25" borderId="4" xfId="0" applyFont="1" applyFill="1" applyBorder="1" applyAlignment="1">
      <alignment horizontal="left" vertical="top" wrapText="1"/>
    </xf>
    <xf numFmtId="0" fontId="4" fillId="25" borderId="2" xfId="0" applyFont="1" applyFill="1" applyBorder="1" applyAlignment="1">
      <alignment horizontal="left" vertical="top" wrapText="1"/>
    </xf>
    <xf numFmtId="2" fontId="4" fillId="25" borderId="0" xfId="0" applyNumberFormat="1" applyFont="1" applyFill="1" applyAlignment="1">
      <alignment horizontal="right" vertical="top" wrapText="1"/>
    </xf>
    <xf numFmtId="0" fontId="4" fillId="25" borderId="11" xfId="0" applyFont="1" applyFill="1" applyBorder="1" applyAlignment="1">
      <alignment horizontal="left" vertical="top" wrapText="1"/>
    </xf>
    <xf numFmtId="2" fontId="4" fillId="25" borderId="8" xfId="0" quotePrefix="1" applyNumberFormat="1" applyFont="1" applyFill="1" applyBorder="1" applyAlignment="1">
      <alignment vertical="top" wrapText="1"/>
    </xf>
    <xf numFmtId="2" fontId="4" fillId="25" borderId="0" xfId="0" quotePrefix="1" applyNumberFormat="1" applyFont="1" applyFill="1" applyBorder="1" applyAlignment="1">
      <alignment vertical="top" wrapText="1"/>
    </xf>
    <xf numFmtId="0" fontId="29" fillId="7" borderId="0" xfId="0" applyFont="1" applyFill="1" applyProtection="1"/>
    <xf numFmtId="0" fontId="27" fillId="7" borderId="0" xfId="0" applyFont="1" applyFill="1" applyAlignment="1" applyProtection="1">
      <alignment horizontal="left" indent="1"/>
    </xf>
    <xf numFmtId="0" fontId="0" fillId="0" borderId="0" xfId="0" applyFill="1" applyProtection="1"/>
    <xf numFmtId="0" fontId="4" fillId="25" borderId="2" xfId="0" applyFont="1" applyFill="1" applyBorder="1" applyAlignment="1">
      <alignment horizontal="left" vertical="top"/>
    </xf>
    <xf numFmtId="0" fontId="4" fillId="25" borderId="0" xfId="0" applyFont="1" applyFill="1" applyBorder="1" applyAlignment="1">
      <alignment horizontal="left" vertical="top"/>
    </xf>
    <xf numFmtId="0" fontId="5" fillId="25" borderId="5" xfId="0" quotePrefix="1" applyFont="1" applyFill="1" applyBorder="1" applyAlignment="1">
      <alignment horizontal="right" wrapText="1"/>
    </xf>
    <xf numFmtId="0" fontId="4" fillId="25" borderId="12" xfId="0" applyFont="1" applyFill="1" applyBorder="1" applyAlignment="1">
      <alignment horizontal="left" vertical="top"/>
    </xf>
    <xf numFmtId="2" fontId="4" fillId="25" borderId="9" xfId="0" applyNumberFormat="1" applyFont="1" applyFill="1" applyBorder="1" applyAlignment="1">
      <alignment horizontal="right" vertical="top" wrapText="1"/>
    </xf>
    <xf numFmtId="0" fontId="4" fillId="25" borderId="23" xfId="0" applyFont="1" applyFill="1" applyBorder="1" applyAlignment="1">
      <alignment horizontal="left" vertical="top" wrapText="1"/>
    </xf>
    <xf numFmtId="0" fontId="4" fillId="25" borderId="36" xfId="0" applyFont="1" applyFill="1" applyBorder="1" applyAlignment="1">
      <alignment horizontal="left" vertical="top" wrapText="1"/>
    </xf>
    <xf numFmtId="0" fontId="4" fillId="25" borderId="35" xfId="0" applyFont="1" applyFill="1" applyBorder="1" applyAlignment="1">
      <alignment horizontal="left" vertical="top" wrapText="1"/>
    </xf>
    <xf numFmtId="2" fontId="4" fillId="25" borderId="23" xfId="0" applyNumberFormat="1" applyFont="1" applyFill="1" applyBorder="1" applyAlignment="1">
      <alignment horizontal="right" vertical="top" wrapText="1"/>
    </xf>
    <xf numFmtId="0" fontId="0" fillId="25" borderId="29" xfId="0" applyFont="1" applyFill="1" applyBorder="1" applyAlignment="1">
      <alignment vertical="top" wrapText="1"/>
    </xf>
    <xf numFmtId="0" fontId="4" fillId="25" borderId="31" xfId="0" applyFont="1" applyFill="1" applyBorder="1" applyAlignment="1">
      <alignment horizontal="left" vertical="top" wrapText="1"/>
    </xf>
    <xf numFmtId="0" fontId="4" fillId="25" borderId="33" xfId="0" applyFont="1" applyFill="1" applyBorder="1" applyAlignment="1">
      <alignment horizontal="left" vertical="top" wrapText="1"/>
    </xf>
    <xf numFmtId="2" fontId="4" fillId="25" borderId="29" xfId="0" applyNumberFormat="1" applyFont="1" applyFill="1" applyBorder="1" applyAlignment="1">
      <alignment vertical="top"/>
    </xf>
    <xf numFmtId="0" fontId="0" fillId="25" borderId="14" xfId="0" applyFont="1" applyFill="1" applyBorder="1" applyAlignment="1">
      <alignment vertical="top" wrapText="1"/>
    </xf>
    <xf numFmtId="0" fontId="4" fillId="25" borderId="19" xfId="0" applyFont="1" applyFill="1" applyBorder="1" applyAlignment="1">
      <alignment horizontal="left" vertical="top" wrapText="1"/>
    </xf>
    <xf numFmtId="0" fontId="4" fillId="25" borderId="45" xfId="0" applyFont="1" applyFill="1" applyBorder="1" applyAlignment="1">
      <alignment horizontal="left" vertical="top" wrapText="1"/>
    </xf>
    <xf numFmtId="2" fontId="4" fillId="25" borderId="14" xfId="0" applyNumberFormat="1" applyFont="1" applyFill="1" applyBorder="1" applyAlignment="1">
      <alignment vertical="top"/>
    </xf>
    <xf numFmtId="0" fontId="4" fillId="25" borderId="29" xfId="0" applyFont="1" applyFill="1" applyBorder="1" applyAlignment="1">
      <alignment horizontal="left" vertical="top" wrapText="1"/>
    </xf>
    <xf numFmtId="2" fontId="4" fillId="25" borderId="29" xfId="0" quotePrefix="1" applyNumberFormat="1" applyFont="1" applyFill="1" applyBorder="1" applyAlignment="1">
      <alignment vertical="top" wrapText="1"/>
    </xf>
    <xf numFmtId="0" fontId="36" fillId="7" borderId="0" xfId="0" applyFont="1" applyFill="1" applyAlignment="1" applyProtection="1">
      <alignment horizontal="left"/>
    </xf>
    <xf numFmtId="0" fontId="6" fillId="25" borderId="0" xfId="0" applyFont="1" applyFill="1"/>
    <xf numFmtId="2" fontId="4" fillId="25" borderId="0" xfId="0" applyNumberFormat="1" applyFont="1" applyFill="1" applyBorder="1" applyAlignment="1">
      <alignment horizontal="right" vertical="top" wrapText="1"/>
    </xf>
    <xf numFmtId="0" fontId="0" fillId="25" borderId="0" xfId="0" applyFill="1" applyProtection="1"/>
    <xf numFmtId="2" fontId="0" fillId="25" borderId="0" xfId="0" applyNumberFormat="1" applyFill="1" applyProtection="1"/>
    <xf numFmtId="0" fontId="14" fillId="25" borderId="0" xfId="0" applyFont="1" applyFill="1" applyBorder="1" applyAlignment="1"/>
    <xf numFmtId="0" fontId="4" fillId="25" borderId="0" xfId="0" applyFont="1" applyFill="1" applyAlignment="1">
      <alignment horizontal="left" vertical="top"/>
    </xf>
    <xf numFmtId="0" fontId="9" fillId="25" borderId="0" xfId="1" applyFont="1" applyFill="1" applyAlignment="1">
      <alignment horizontal="left" vertical="top"/>
    </xf>
    <xf numFmtId="0" fontId="4" fillId="25" borderId="0" xfId="0" applyFont="1" applyFill="1"/>
    <xf numFmtId="0" fontId="14" fillId="25" borderId="0" xfId="0" applyFont="1" applyFill="1" applyBorder="1" applyAlignment="1">
      <alignment wrapText="1"/>
    </xf>
    <xf numFmtId="0" fontId="5" fillId="25" borderId="0" xfId="0" applyFont="1" applyFill="1"/>
    <xf numFmtId="0" fontId="4" fillId="25" borderId="5" xfId="0" applyFont="1" applyFill="1" applyBorder="1"/>
    <xf numFmtId="0" fontId="5" fillId="25" borderId="5" xfId="0" applyFont="1" applyFill="1" applyBorder="1" applyAlignment="1">
      <alignment horizontal="left" vertical="top"/>
    </xf>
    <xf numFmtId="0" fontId="5" fillId="25" borderId="5" xfId="0" quotePrefix="1" applyFont="1" applyFill="1" applyBorder="1" applyAlignment="1">
      <alignment horizontal="left" vertical="top" wrapText="1"/>
    </xf>
    <xf numFmtId="1" fontId="4" fillId="25" borderId="0" xfId="0" applyNumberFormat="1" applyFont="1" applyFill="1" applyBorder="1" applyAlignment="1">
      <alignment horizontal="right" vertical="top" wrapText="1"/>
    </xf>
    <xf numFmtId="0" fontId="4" fillId="25" borderId="0" xfId="0" applyFont="1" applyFill="1" applyBorder="1"/>
    <xf numFmtId="167" fontId="4" fillId="25" borderId="0" xfId="0" applyNumberFormat="1" applyFont="1" applyFill="1"/>
    <xf numFmtId="0" fontId="0" fillId="25" borderId="4" xfId="0" applyFill="1" applyBorder="1" applyAlignment="1">
      <alignment wrapText="1"/>
    </xf>
    <xf numFmtId="0" fontId="5" fillId="25" borderId="0" xfId="0" applyFont="1" applyFill="1" applyBorder="1" applyAlignment="1">
      <alignment horizontal="left" vertical="top"/>
    </xf>
    <xf numFmtId="0" fontId="4" fillId="25" borderId="0" xfId="0" applyFont="1" applyFill="1" applyAlignment="1">
      <alignment wrapText="1"/>
    </xf>
    <xf numFmtId="0" fontId="4" fillId="25" borderId="0" xfId="0" applyFont="1" applyFill="1" applyAlignment="1"/>
    <xf numFmtId="3" fontId="4" fillId="25" borderId="0" xfId="0" applyNumberFormat="1" applyFont="1" applyFill="1" applyBorder="1" applyAlignment="1">
      <alignment horizontal="left" vertical="top"/>
    </xf>
    <xf numFmtId="0" fontId="0" fillId="25" borderId="16" xfId="0" applyFill="1" applyBorder="1" applyAlignment="1">
      <alignment wrapText="1"/>
    </xf>
    <xf numFmtId="167" fontId="4" fillId="25" borderId="4" xfId="0" applyNumberFormat="1" applyFont="1" applyFill="1" applyBorder="1" applyAlignment="1">
      <alignment horizontal="center" vertical="top"/>
    </xf>
    <xf numFmtId="167" fontId="4" fillId="25" borderId="0" xfId="0" applyNumberFormat="1" applyFont="1" applyFill="1" applyBorder="1" applyAlignment="1">
      <alignment horizontal="center" vertical="top"/>
    </xf>
    <xf numFmtId="0" fontId="4" fillId="0" borderId="46"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0" fontId="4" fillId="23" borderId="4" xfId="0" applyFont="1" applyFill="1" applyBorder="1" applyProtection="1"/>
    <xf numFmtId="171" fontId="4" fillId="23" borderId="4" xfId="0" applyNumberFormat="1" applyFont="1" applyFill="1" applyBorder="1" applyProtection="1"/>
    <xf numFmtId="171" fontId="4" fillId="23" borderId="0" xfId="0" applyNumberFormat="1" applyFont="1" applyFill="1" applyBorder="1" applyProtection="1"/>
    <xf numFmtId="167" fontId="11" fillId="23" borderId="5" xfId="0" applyNumberFormat="1" applyFont="1" applyFill="1" applyBorder="1" applyAlignment="1" applyProtection="1">
      <alignment horizontal="right" vertical="top" wrapText="1"/>
    </xf>
    <xf numFmtId="167" fontId="5" fillId="23" borderId="16" xfId="0" applyNumberFormat="1" applyFont="1" applyFill="1" applyBorder="1" applyAlignment="1" applyProtection="1">
      <alignment horizontal="right" vertical="top" wrapText="1"/>
    </xf>
    <xf numFmtId="0" fontId="4" fillId="7" borderId="4" xfId="0" applyFont="1" applyFill="1" applyBorder="1" applyAlignment="1" applyProtection="1">
      <alignment vertical="top" wrapText="1"/>
      <protection locked="0"/>
    </xf>
    <xf numFmtId="0" fontId="0" fillId="7" borderId="4" xfId="0" applyFill="1" applyBorder="1" applyAlignment="1" applyProtection="1">
      <alignment horizontal="left" wrapText="1"/>
      <protection locked="0"/>
    </xf>
    <xf numFmtId="0" fontId="0" fillId="7" borderId="0" xfId="0" applyFill="1" applyAlignment="1" applyProtection="1">
      <alignment horizontal="left" wrapText="1"/>
      <protection locked="0"/>
    </xf>
    <xf numFmtId="0" fontId="4" fillId="7" borderId="0" xfId="0" applyFont="1" applyFill="1" applyBorder="1" applyAlignment="1" applyProtection="1">
      <alignment vertical="top" wrapText="1"/>
      <protection locked="0"/>
    </xf>
    <xf numFmtId="0" fontId="4" fillId="7" borderId="30" xfId="0" applyFont="1" applyFill="1" applyBorder="1" applyAlignment="1" applyProtection="1">
      <alignment vertical="top" wrapText="1"/>
      <protection locked="0"/>
    </xf>
    <xf numFmtId="0" fontId="0" fillId="7" borderId="31" xfId="0" applyFill="1" applyBorder="1" applyAlignment="1" applyProtection="1">
      <alignment horizontal="left" wrapText="1"/>
      <protection locked="0"/>
    </xf>
    <xf numFmtId="0" fontId="0" fillId="7" borderId="29" xfId="0" applyFill="1" applyBorder="1" applyAlignment="1" applyProtection="1">
      <alignment horizontal="left" wrapText="1"/>
      <protection locked="0"/>
    </xf>
    <xf numFmtId="0" fontId="4" fillId="7" borderId="29" xfId="0" applyFont="1" applyFill="1" applyBorder="1" applyAlignment="1" applyProtection="1">
      <alignment vertical="top" wrapText="1"/>
      <protection locked="0"/>
    </xf>
    <xf numFmtId="0" fontId="4" fillId="7" borderId="44" xfId="0" applyFont="1" applyFill="1" applyBorder="1" applyAlignment="1" applyProtection="1">
      <alignment vertical="top" wrapText="1"/>
      <protection locked="0"/>
    </xf>
    <xf numFmtId="0" fontId="0" fillId="7" borderId="32" xfId="0" applyFill="1" applyBorder="1" applyAlignment="1" applyProtection="1">
      <alignment horizontal="left" wrapText="1"/>
      <protection locked="0"/>
    </xf>
    <xf numFmtId="0" fontId="0" fillId="7" borderId="24" xfId="0" applyFill="1" applyBorder="1" applyAlignment="1" applyProtection="1">
      <alignment horizontal="left" wrapText="1"/>
      <protection locked="0"/>
    </xf>
    <xf numFmtId="0" fontId="4" fillId="7" borderId="24" xfId="0" applyFont="1" applyFill="1" applyBorder="1" applyAlignment="1" applyProtection="1">
      <alignment vertical="top" wrapText="1"/>
      <protection locked="0"/>
    </xf>
    <xf numFmtId="0" fontId="4" fillId="7" borderId="1" xfId="0" applyFont="1" applyFill="1" applyBorder="1" applyAlignment="1" applyProtection="1">
      <alignment vertical="top" wrapText="1"/>
      <protection locked="0"/>
    </xf>
    <xf numFmtId="0" fontId="0" fillId="7" borderId="11" xfId="0" applyFill="1" applyBorder="1" applyAlignment="1" applyProtection="1">
      <alignment horizontal="left" wrapText="1"/>
      <protection locked="0"/>
    </xf>
    <xf numFmtId="0" fontId="0" fillId="7" borderId="8" xfId="0" applyFill="1" applyBorder="1" applyAlignment="1" applyProtection="1">
      <alignment horizontal="left" wrapText="1"/>
      <protection locked="0"/>
    </xf>
    <xf numFmtId="0" fontId="4" fillId="7" borderId="8" xfId="0" applyFont="1" applyFill="1" applyBorder="1" applyAlignment="1" applyProtection="1">
      <alignment vertical="top" wrapText="1"/>
      <protection locked="0"/>
    </xf>
    <xf numFmtId="168" fontId="4" fillId="7" borderId="0" xfId="0" applyNumberFormat="1" applyFont="1" applyFill="1" applyAlignment="1" applyProtection="1">
      <alignment horizontal="right" vertical="top"/>
      <protection locked="0"/>
    </xf>
    <xf numFmtId="168" fontId="4" fillId="0" borderId="0" xfId="0" applyNumberFormat="1" applyFont="1" applyFill="1" applyAlignment="1" applyProtection="1">
      <alignment horizontal="right" vertical="top"/>
      <protection locked="0"/>
    </xf>
    <xf numFmtId="2" fontId="5" fillId="23" borderId="5" xfId="0" applyNumberFormat="1" applyFont="1" applyFill="1" applyBorder="1" applyAlignment="1" applyProtection="1">
      <alignment horizontal="right"/>
    </xf>
    <xf numFmtId="1" fontId="5" fillId="23" borderId="5" xfId="0" applyNumberFormat="1" applyFont="1" applyFill="1" applyBorder="1" applyAlignment="1" applyProtection="1">
      <alignment horizontal="right"/>
    </xf>
    <xf numFmtId="2" fontId="5" fillId="11" borderId="5" xfId="0" applyNumberFormat="1" applyFont="1" applyFill="1" applyBorder="1" applyAlignment="1" applyProtection="1">
      <alignment horizontal="right"/>
    </xf>
    <xf numFmtId="1" fontId="5" fillId="11" borderId="5" xfId="0" applyNumberFormat="1" applyFont="1" applyFill="1" applyBorder="1" applyAlignment="1" applyProtection="1">
      <alignment horizontal="right"/>
    </xf>
    <xf numFmtId="0" fontId="18" fillId="10" borderId="0" xfId="1" applyFont="1" applyFill="1" applyAlignment="1" applyProtection="1">
      <alignment horizontal="left" indent="3"/>
    </xf>
    <xf numFmtId="0" fontId="18" fillId="24" borderId="0" xfId="1" applyFont="1" applyFill="1" applyAlignment="1" applyProtection="1">
      <alignment horizontal="left" indent="3"/>
    </xf>
    <xf numFmtId="0" fontId="18" fillId="23" borderId="0" xfId="1" applyFont="1" applyFill="1" applyAlignment="1" applyProtection="1">
      <alignment horizontal="left" indent="3"/>
    </xf>
    <xf numFmtId="0" fontId="0" fillId="21" borderId="0" xfId="0" applyFill="1"/>
    <xf numFmtId="0" fontId="21" fillId="8" borderId="0" xfId="1" applyFont="1" applyFill="1" applyAlignment="1">
      <alignment horizontal="left" vertical="top" indent="1"/>
    </xf>
    <xf numFmtId="168" fontId="5" fillId="3" borderId="10" xfId="0" applyNumberFormat="1" applyFont="1" applyFill="1" applyBorder="1" applyAlignment="1" applyProtection="1">
      <alignment horizontal="right"/>
    </xf>
    <xf numFmtId="0" fontId="15" fillId="0" borderId="47" xfId="4" applyFont="1" applyFill="1" applyBorder="1" applyAlignment="1" applyProtection="1">
      <alignment horizontal="left" vertical="top"/>
      <protection locked="0"/>
    </xf>
    <xf numFmtId="0" fontId="15" fillId="0" borderId="47" xfId="4" applyFont="1" applyFill="1" applyBorder="1" applyAlignment="1" applyProtection="1">
      <alignment horizontal="left" vertical="top" wrapText="1"/>
      <protection locked="0"/>
    </xf>
    <xf numFmtId="0" fontId="15" fillId="0" borderId="48" xfId="4" applyFont="1" applyFill="1" applyBorder="1" applyAlignment="1" applyProtection="1">
      <alignment horizontal="left" vertical="top"/>
      <protection locked="0"/>
    </xf>
    <xf numFmtId="0" fontId="15" fillId="0" borderId="48" xfId="4" applyFont="1" applyFill="1" applyBorder="1" applyAlignment="1" applyProtection="1">
      <alignment horizontal="left" vertical="top" wrapText="1"/>
      <protection locked="0"/>
    </xf>
    <xf numFmtId="0" fontId="15" fillId="0" borderId="49" xfId="4" applyFont="1" applyFill="1" applyBorder="1" applyAlignment="1" applyProtection="1">
      <alignment horizontal="left" vertical="top"/>
      <protection locked="0"/>
    </xf>
    <xf numFmtId="0" fontId="15" fillId="0" borderId="49" xfId="4" applyFont="1" applyFill="1" applyBorder="1" applyAlignment="1" applyProtection="1">
      <alignment horizontal="left" vertical="top" wrapText="1"/>
      <protection locked="0"/>
    </xf>
    <xf numFmtId="0" fontId="15" fillId="26" borderId="9" xfId="4" applyFont="1" applyFill="1" applyBorder="1" applyProtection="1">
      <protection locked="0"/>
    </xf>
    <xf numFmtId="0" fontId="15" fillId="26" borderId="9" xfId="4" applyFont="1" applyFill="1" applyBorder="1" applyAlignment="1" applyProtection="1">
      <alignment horizontal="left" vertical="top" wrapText="1"/>
      <protection locked="0"/>
    </xf>
    <xf numFmtId="0" fontId="15" fillId="0" borderId="50" xfId="4" applyFont="1" applyFill="1" applyBorder="1" applyAlignment="1" applyProtection="1">
      <alignment horizontal="left" vertical="top"/>
      <protection locked="0"/>
    </xf>
    <xf numFmtId="0" fontId="15" fillId="0" borderId="50" xfId="4" applyFont="1" applyFill="1" applyBorder="1" applyAlignment="1" applyProtection="1">
      <alignment horizontal="left" vertical="top" wrapText="1"/>
      <protection locked="0"/>
    </xf>
    <xf numFmtId="0" fontId="15" fillId="26" borderId="0" xfId="4" applyFont="1" applyFill="1" applyBorder="1" applyAlignment="1" applyProtection="1">
      <alignment horizontal="left" vertical="top" wrapText="1"/>
      <protection locked="0"/>
    </xf>
    <xf numFmtId="0" fontId="15" fillId="0" borderId="0" xfId="4" applyFont="1" applyFill="1" applyBorder="1" applyAlignment="1" applyProtection="1">
      <alignment horizontal="left" vertical="top"/>
      <protection locked="0"/>
    </xf>
    <xf numFmtId="0" fontId="15" fillId="0" borderId="0" xfId="4" applyFont="1" applyFill="1" applyBorder="1" applyAlignment="1" applyProtection="1">
      <alignment horizontal="left" vertical="top" wrapText="1"/>
      <protection locked="0"/>
    </xf>
    <xf numFmtId="0" fontId="15" fillId="0" borderId="47" xfId="4" applyFont="1" applyFill="1" applyBorder="1" applyAlignment="1" applyProtection="1">
      <alignment horizontal="left" vertical="top"/>
      <protection locked="0"/>
    </xf>
    <xf numFmtId="0" fontId="15" fillId="0" borderId="47" xfId="4" applyFont="1" applyFill="1" applyBorder="1" applyAlignment="1" applyProtection="1">
      <alignment horizontal="left" vertical="top" wrapText="1"/>
      <protection locked="0"/>
    </xf>
    <xf numFmtId="0" fontId="15" fillId="0" borderId="48" xfId="4" applyFont="1" applyFill="1" applyBorder="1" applyAlignment="1" applyProtection="1">
      <alignment horizontal="left" vertical="top"/>
      <protection locked="0"/>
    </xf>
    <xf numFmtId="0" fontId="15" fillId="0" borderId="48" xfId="4" applyFont="1" applyFill="1" applyBorder="1" applyAlignment="1" applyProtection="1">
      <alignment horizontal="left" vertical="top" wrapText="1"/>
      <protection locked="0"/>
    </xf>
    <xf numFmtId="0" fontId="15" fillId="0" borderId="49" xfId="4" applyFont="1" applyFill="1" applyBorder="1" applyAlignment="1" applyProtection="1">
      <alignment horizontal="left" vertical="top"/>
      <protection locked="0"/>
    </xf>
    <xf numFmtId="0" fontId="15" fillId="0" borderId="49" xfId="4" applyFont="1" applyFill="1" applyBorder="1" applyAlignment="1" applyProtection="1">
      <alignment horizontal="left" vertical="top" wrapText="1"/>
      <protection locked="0"/>
    </xf>
    <xf numFmtId="0" fontId="15" fillId="26" borderId="9" xfId="4" applyFont="1" applyFill="1" applyBorder="1" applyProtection="1">
      <protection locked="0"/>
    </xf>
    <xf numFmtId="0" fontId="15" fillId="26" borderId="9" xfId="4" applyFont="1" applyFill="1" applyBorder="1" applyAlignment="1" applyProtection="1">
      <alignment horizontal="left" vertical="top" wrapText="1"/>
      <protection locked="0"/>
    </xf>
    <xf numFmtId="0" fontId="15" fillId="0" borderId="50" xfId="4" applyFont="1" applyFill="1" applyBorder="1" applyAlignment="1" applyProtection="1">
      <alignment horizontal="left" vertical="top"/>
      <protection locked="0"/>
    </xf>
    <xf numFmtId="0" fontId="15" fillId="0" borderId="50" xfId="4" applyFont="1" applyFill="1" applyBorder="1" applyAlignment="1" applyProtection="1">
      <alignment horizontal="left" vertical="top" wrapText="1"/>
      <protection locked="0"/>
    </xf>
    <xf numFmtId="0" fontId="15" fillId="26" borderId="0" xfId="4" applyFont="1" applyFill="1" applyBorder="1" applyAlignment="1" applyProtection="1">
      <alignment horizontal="left" vertical="top" wrapText="1"/>
      <protection locked="0"/>
    </xf>
    <xf numFmtId="0" fontId="15" fillId="0" borderId="0" xfId="4" applyFont="1" applyFill="1" applyBorder="1" applyAlignment="1" applyProtection="1">
      <alignment horizontal="left" vertical="top"/>
      <protection locked="0"/>
    </xf>
    <xf numFmtId="0" fontId="15" fillId="0" borderId="0" xfId="4" applyFont="1" applyFill="1" applyBorder="1" applyAlignment="1" applyProtection="1">
      <alignment horizontal="left" vertical="top" wrapText="1"/>
      <protection locked="0"/>
    </xf>
    <xf numFmtId="0" fontId="15" fillId="0" borderId="47" xfId="4" applyFont="1" applyFill="1" applyBorder="1" applyAlignment="1" applyProtection="1">
      <alignment horizontal="left" vertical="top"/>
      <protection locked="0"/>
    </xf>
    <xf numFmtId="0" fontId="15" fillId="0" borderId="47" xfId="4" applyFont="1" applyFill="1" applyBorder="1" applyAlignment="1" applyProtection="1">
      <alignment horizontal="left" vertical="top" wrapText="1"/>
      <protection locked="0"/>
    </xf>
    <xf numFmtId="0" fontId="15" fillId="0" borderId="48" xfId="4" applyFont="1" applyFill="1" applyBorder="1" applyAlignment="1" applyProtection="1">
      <alignment horizontal="left" vertical="top"/>
      <protection locked="0"/>
    </xf>
    <xf numFmtId="0" fontId="15" fillId="0" borderId="48" xfId="4" applyFont="1" applyFill="1" applyBorder="1" applyAlignment="1" applyProtection="1">
      <alignment horizontal="left" vertical="top" wrapText="1"/>
      <protection locked="0"/>
    </xf>
    <xf numFmtId="0" fontId="15" fillId="0" borderId="49" xfId="4" applyFont="1" applyFill="1" applyBorder="1" applyAlignment="1" applyProtection="1">
      <alignment horizontal="left" vertical="top" wrapText="1"/>
      <protection locked="0"/>
    </xf>
    <xf numFmtId="0" fontId="15" fillId="26" borderId="9" xfId="4" applyFont="1" applyFill="1" applyBorder="1" applyProtection="1">
      <protection locked="0"/>
    </xf>
    <xf numFmtId="0" fontId="15" fillId="26" borderId="9" xfId="4" applyFont="1" applyFill="1" applyBorder="1" applyAlignment="1" applyProtection="1">
      <alignment horizontal="left" vertical="top" wrapText="1"/>
      <protection locked="0"/>
    </xf>
    <xf numFmtId="0" fontId="15" fillId="0" borderId="50" xfId="4" applyFont="1" applyFill="1" applyBorder="1" applyAlignment="1" applyProtection="1">
      <alignment horizontal="left" vertical="top" wrapText="1"/>
      <protection locked="0"/>
    </xf>
    <xf numFmtId="0" fontId="15" fillId="26" borderId="0" xfId="4" applyFont="1" applyFill="1" applyBorder="1" applyAlignment="1" applyProtection="1">
      <alignment horizontal="left" vertical="top" wrapText="1"/>
      <protection locked="0"/>
    </xf>
    <xf numFmtId="0" fontId="5" fillId="3" borderId="10" xfId="0" applyFont="1" applyFill="1" applyBorder="1" applyAlignment="1" applyProtection="1">
      <alignment wrapText="1"/>
    </xf>
    <xf numFmtId="14" fontId="4" fillId="0" borderId="0" xfId="0" applyNumberFormat="1" applyFont="1" applyFill="1" applyAlignment="1">
      <alignment horizontal="left" vertical="top" wrapText="1"/>
    </xf>
    <xf numFmtId="0" fontId="38" fillId="10" borderId="0" xfId="4" applyFont="1" applyFill="1"/>
    <xf numFmtId="0" fontId="39" fillId="10" borderId="0" xfId="4" applyFont="1" applyFill="1"/>
    <xf numFmtId="0" fontId="2" fillId="10" borderId="0" xfId="4" applyFill="1"/>
    <xf numFmtId="0" fontId="0" fillId="0" borderId="0" xfId="0" applyFont="1" applyAlignment="1">
      <alignment wrapText="1"/>
    </xf>
    <xf numFmtId="0" fontId="0"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4" xfId="0" applyFill="1" applyBorder="1" applyProtection="1"/>
    <xf numFmtId="0" fontId="0" fillId="7" borderId="5" xfId="0" applyFont="1" applyFill="1" applyBorder="1" applyProtection="1"/>
    <xf numFmtId="166" fontId="0" fillId="7" borderId="5" xfId="0" applyNumberFormat="1" applyFill="1" applyBorder="1" applyAlignment="1" applyProtection="1">
      <alignment horizontal="left"/>
    </xf>
    <xf numFmtId="0" fontId="0" fillId="7" borderId="5" xfId="0" applyFill="1" applyBorder="1" applyProtection="1"/>
    <xf numFmtId="0" fontId="0" fillId="7" borderId="10" xfId="0" applyFill="1" applyBorder="1" applyProtection="1"/>
    <xf numFmtId="0" fontId="0" fillId="7" borderId="5" xfId="0" applyFill="1" applyBorder="1" applyAlignment="1" applyProtection="1">
      <alignment wrapText="1"/>
    </xf>
    <xf numFmtId="0" fontId="0" fillId="7" borderId="5" xfId="0" applyFill="1" applyBorder="1" applyAlignment="1" applyProtection="1"/>
    <xf numFmtId="0" fontId="0" fillId="7" borderId="6" xfId="0" applyFill="1" applyBorder="1" applyProtection="1"/>
    <xf numFmtId="0" fontId="0" fillId="7" borderId="0" xfId="0" applyFill="1" applyBorder="1" applyAlignment="1" applyProtection="1"/>
    <xf numFmtId="0" fontId="0" fillId="7" borderId="0" xfId="0" applyFill="1" applyAlignment="1"/>
    <xf numFmtId="2" fontId="5" fillId="21" borderId="10" xfId="0" applyNumberFormat="1" applyFont="1" applyFill="1" applyBorder="1" applyAlignment="1" applyProtection="1">
      <alignment horizontal="center"/>
    </xf>
    <xf numFmtId="0" fontId="5" fillId="5" borderId="16" xfId="0" quotePrefix="1" applyFont="1" applyFill="1" applyBorder="1" applyAlignment="1" applyProtection="1">
      <alignment wrapText="1"/>
      <protection locked="0"/>
    </xf>
    <xf numFmtId="170" fontId="4" fillId="0" borderId="4" xfId="0" applyNumberFormat="1" applyFont="1" applyFill="1" applyBorder="1" applyAlignment="1" applyProtection="1">
      <alignment horizontal="right" vertical="top"/>
    </xf>
    <xf numFmtId="170" fontId="5" fillId="6" borderId="4" xfId="0" applyNumberFormat="1" applyFont="1" applyFill="1" applyBorder="1" applyAlignment="1" applyProtection="1">
      <alignment vertical="center" wrapText="1"/>
      <protection locked="0"/>
    </xf>
    <xf numFmtId="170" fontId="3" fillId="0" borderId="4" xfId="0" applyNumberFormat="1" applyFont="1" applyFill="1" applyBorder="1" applyAlignment="1" applyProtection="1">
      <alignment horizontal="right" vertical="top"/>
    </xf>
    <xf numFmtId="170" fontId="5" fillId="4" borderId="4" xfId="0" applyNumberFormat="1" applyFont="1" applyFill="1" applyBorder="1" applyAlignment="1" applyProtection="1">
      <alignment vertical="center" wrapText="1"/>
      <protection locked="0"/>
    </xf>
    <xf numFmtId="170" fontId="4" fillId="0" borderId="4" xfId="3" applyNumberFormat="1" applyFont="1" applyFill="1" applyBorder="1" applyAlignment="1" applyProtection="1">
      <alignment horizontal="right" vertical="top"/>
    </xf>
    <xf numFmtId="170" fontId="4" fillId="0" borderId="31" xfId="0" applyNumberFormat="1" applyFont="1" applyFill="1" applyBorder="1" applyAlignment="1" applyProtection="1">
      <alignment vertical="top"/>
    </xf>
    <xf numFmtId="170" fontId="4" fillId="0" borderId="31" xfId="0" applyNumberFormat="1" applyFont="1" applyFill="1" applyBorder="1" applyAlignment="1" applyProtection="1">
      <alignment horizontal="right" vertical="top"/>
      <protection locked="0"/>
    </xf>
    <xf numFmtId="170" fontId="4" fillId="0" borderId="11" xfId="0" applyNumberFormat="1" applyFont="1" applyFill="1" applyBorder="1" applyAlignment="1" applyProtection="1">
      <alignment horizontal="right" vertical="top"/>
      <protection locked="0"/>
    </xf>
    <xf numFmtId="170" fontId="4" fillId="0" borderId="11" xfId="0" applyNumberFormat="1" applyFont="1" applyFill="1" applyBorder="1" applyAlignment="1" applyProtection="1">
      <alignment horizontal="right" vertical="top"/>
    </xf>
    <xf numFmtId="0" fontId="4" fillId="21" borderId="10" xfId="0" applyFont="1" applyFill="1" applyBorder="1" applyAlignment="1">
      <alignment wrapText="1"/>
    </xf>
    <xf numFmtId="0" fontId="0" fillId="0" borderId="31" xfId="0" applyFill="1" applyBorder="1" applyAlignment="1" applyProtection="1">
      <alignment horizontal="left" wrapText="1"/>
      <protection locked="0"/>
    </xf>
    <xf numFmtId="0" fontId="0" fillId="7" borderId="2" xfId="0" applyFill="1" applyBorder="1" applyProtection="1"/>
    <xf numFmtId="0" fontId="27" fillId="7" borderId="0" xfId="0" applyFont="1" applyFill="1" applyAlignment="1" applyProtection="1">
      <alignment horizontal="left"/>
    </xf>
    <xf numFmtId="0" fontId="0" fillId="0" borderId="0" xfId="0" applyFill="1"/>
    <xf numFmtId="0" fontId="0" fillId="27" borderId="0" xfId="0" applyFill="1"/>
    <xf numFmtId="0" fontId="3" fillId="27" borderId="0" xfId="0" applyFont="1" applyFill="1" applyAlignment="1">
      <alignment vertical="center"/>
    </xf>
    <xf numFmtId="0" fontId="4" fillId="27" borderId="0" xfId="0" applyFont="1" applyFill="1" applyAlignment="1">
      <alignment vertical="center"/>
    </xf>
    <xf numFmtId="0" fontId="15" fillId="27" borderId="0" xfId="0" applyFont="1" applyFill="1" applyAlignment="1">
      <alignment vertical="center"/>
    </xf>
    <xf numFmtId="0" fontId="5" fillId="27" borderId="6" xfId="0" applyFont="1" applyFill="1" applyBorder="1" applyAlignment="1">
      <alignment vertical="center" wrapText="1"/>
    </xf>
    <xf numFmtId="0" fontId="5" fillId="27" borderId="5" xfId="0" applyFont="1" applyFill="1" applyBorder="1" applyAlignment="1">
      <alignment vertical="center" wrapText="1"/>
    </xf>
    <xf numFmtId="0" fontId="0" fillId="27" borderId="0" xfId="0" applyFill="1" applyBorder="1"/>
    <xf numFmtId="0" fontId="15" fillId="27" borderId="2" xfId="0" applyFont="1" applyFill="1" applyBorder="1" applyAlignment="1">
      <alignment vertical="center" wrapText="1"/>
    </xf>
    <xf numFmtId="0" fontId="0" fillId="27" borderId="2" xfId="0" applyFill="1" applyBorder="1"/>
    <xf numFmtId="0" fontId="41" fillId="27" borderId="0" xfId="0" applyFont="1" applyFill="1" applyAlignment="1">
      <alignment vertical="center"/>
    </xf>
    <xf numFmtId="0" fontId="5" fillId="27" borderId="6" xfId="0" applyFont="1" applyFill="1" applyBorder="1"/>
    <xf numFmtId="0" fontId="0" fillId="27" borderId="2" xfId="0" applyFill="1" applyBorder="1" applyAlignment="1">
      <alignment wrapText="1"/>
    </xf>
    <xf numFmtId="0" fontId="3" fillId="27" borderId="6" xfId="0" applyFont="1" applyFill="1" applyBorder="1" applyAlignment="1">
      <alignment wrapText="1"/>
    </xf>
    <xf numFmtId="0" fontId="42" fillId="27" borderId="0" xfId="0" applyFont="1" applyFill="1" applyAlignment="1">
      <alignment vertical="center"/>
    </xf>
    <xf numFmtId="0" fontId="3" fillId="27" borderId="6" xfId="0" applyFont="1" applyFill="1" applyBorder="1"/>
    <xf numFmtId="0" fontId="3" fillId="27" borderId="0" xfId="0" applyFont="1" applyFill="1"/>
    <xf numFmtId="0" fontId="15" fillId="27" borderId="0" xfId="0" applyFont="1" applyFill="1"/>
    <xf numFmtId="0" fontId="22" fillId="27" borderId="0" xfId="0" applyFont="1" applyFill="1" applyProtection="1"/>
    <xf numFmtId="1" fontId="0" fillId="7" borderId="4" xfId="0" applyNumberFormat="1" applyFill="1" applyBorder="1" applyProtection="1"/>
    <xf numFmtId="0" fontId="0" fillId="27" borderId="0" xfId="0" applyFill="1" applyAlignment="1">
      <alignment horizontal="right"/>
    </xf>
    <xf numFmtId="166" fontId="0" fillId="27" borderId="0" xfId="0" applyNumberFormat="1" applyFill="1" applyAlignment="1">
      <alignment horizontal="left"/>
    </xf>
    <xf numFmtId="0" fontId="4" fillId="0" borderId="4" xfId="0" applyFont="1" applyBorder="1" applyAlignment="1">
      <alignment vertical="center" wrapText="1"/>
    </xf>
    <xf numFmtId="0" fontId="6" fillId="27" borderId="0" xfId="0" applyFont="1" applyFill="1" applyAlignment="1">
      <alignment horizontal="left" vertical="top"/>
    </xf>
    <xf numFmtId="0" fontId="13" fillId="27" borderId="0" xfId="0" applyFont="1" applyFill="1" applyProtection="1"/>
    <xf numFmtId="0" fontId="6" fillId="27" borderId="0" xfId="0" applyFont="1" applyFill="1"/>
    <xf numFmtId="0" fontId="34" fillId="27" borderId="0" xfId="0" applyFont="1" applyFill="1" applyAlignment="1" applyProtection="1">
      <alignment horizontal="left"/>
    </xf>
    <xf numFmtId="0" fontId="0" fillId="0" borderId="0" xfId="0" applyFill="1" applyAlignment="1">
      <alignment wrapText="1"/>
    </xf>
    <xf numFmtId="0" fontId="4" fillId="0" borderId="3" xfId="0" applyFont="1" applyFill="1" applyBorder="1" applyAlignment="1" applyProtection="1">
      <alignment vertical="top" wrapText="1"/>
    </xf>
    <xf numFmtId="0" fontId="4" fillId="0" borderId="7" xfId="0" applyFont="1" applyFill="1" applyBorder="1" applyAlignment="1" applyProtection="1">
      <alignment vertical="top" wrapText="1"/>
    </xf>
    <xf numFmtId="172" fontId="0" fillId="0" borderId="0" xfId="0" applyNumberFormat="1" applyFill="1" applyAlignment="1" applyProtection="1">
      <alignment horizontal="right" vertical="top"/>
      <protection locked="0"/>
    </xf>
    <xf numFmtId="172" fontId="4" fillId="0" borderId="0" xfId="0" applyNumberFormat="1" applyFont="1" applyFill="1" applyAlignment="1" applyProtection="1">
      <alignment horizontal="right" vertical="top"/>
      <protection locked="0"/>
    </xf>
    <xf numFmtId="3" fontId="13" fillId="0" borderId="0" xfId="0" applyNumberFormat="1" applyFont="1" applyFill="1" applyBorder="1" applyAlignment="1" applyProtection="1">
      <alignment vertical="top" wrapText="1"/>
      <protection locked="0"/>
    </xf>
    <xf numFmtId="0" fontId="0" fillId="7" borderId="0" xfId="0" applyFont="1" applyFill="1" applyBorder="1" applyProtection="1"/>
    <xf numFmtId="166" fontId="0" fillId="7" borderId="0" xfId="0" applyNumberFormat="1" applyFill="1" applyBorder="1" applyAlignment="1" applyProtection="1">
      <alignment horizontal="left"/>
    </xf>
    <xf numFmtId="169" fontId="0" fillId="7" borderId="4" xfId="3" applyNumberFormat="1" applyFont="1" applyFill="1" applyBorder="1" applyProtection="1"/>
    <xf numFmtId="2" fontId="0" fillId="7" borderId="0" xfId="0" applyNumberFormat="1" applyFill="1" applyBorder="1" applyAlignment="1" applyProtection="1">
      <alignment horizontal="right" wrapText="1"/>
    </xf>
    <xf numFmtId="0" fontId="0" fillId="7" borderId="0" xfId="0" quotePrefix="1" applyFont="1" applyFill="1" applyProtection="1"/>
    <xf numFmtId="0" fontId="0" fillId="7" borderId="0" xfId="0" applyFont="1" applyFill="1" applyAlignment="1" applyProtection="1">
      <alignment horizontal="left" indent="2"/>
    </xf>
    <xf numFmtId="0" fontId="46" fillId="7" borderId="0" xfId="0" applyFont="1" applyFill="1" applyBorder="1" applyProtection="1"/>
    <xf numFmtId="0" fontId="0" fillId="7" borderId="0" xfId="0" applyFont="1" applyFill="1" applyAlignment="1" applyProtection="1">
      <alignment horizontal="left" indent="1"/>
    </xf>
    <xf numFmtId="0" fontId="0" fillId="7" borderId="0" xfId="0" applyFill="1" applyAlignment="1" applyProtection="1"/>
    <xf numFmtId="0" fontId="0" fillId="7" borderId="0" xfId="0" applyFill="1" applyAlignment="1"/>
    <xf numFmtId="0" fontId="0" fillId="7" borderId="0" xfId="0" applyFill="1" applyAlignment="1" applyProtection="1"/>
    <xf numFmtId="0" fontId="46" fillId="7" borderId="0" xfId="0" applyFont="1" applyFill="1" applyAlignment="1" applyProtection="1">
      <alignment horizontal="left"/>
    </xf>
    <xf numFmtId="0" fontId="0" fillId="7" borderId="4" xfId="0" applyFill="1" applyBorder="1" applyProtection="1"/>
    <xf numFmtId="0" fontId="46" fillId="7" borderId="0" xfId="0" applyFont="1" applyFill="1" applyProtection="1"/>
    <xf numFmtId="9" fontId="0" fillId="7" borderId="4" xfId="2" applyFont="1" applyFill="1" applyBorder="1" applyProtection="1"/>
    <xf numFmtId="0" fontId="0" fillId="7" borderId="0" xfId="0" applyFont="1" applyFill="1" applyAlignment="1" applyProtection="1">
      <alignment horizontal="left"/>
    </xf>
    <xf numFmtId="0" fontId="0" fillId="7" borderId="0" xfId="0" applyFill="1" applyBorder="1" applyAlignment="1" applyProtection="1">
      <alignment wrapText="1"/>
    </xf>
    <xf numFmtId="0" fontId="0" fillId="7" borderId="9" xfId="0" applyFill="1" applyBorder="1" applyAlignment="1" applyProtection="1"/>
    <xf numFmtId="0" fontId="0" fillId="7" borderId="9" xfId="0" applyFill="1" applyBorder="1" applyProtection="1"/>
    <xf numFmtId="3" fontId="0" fillId="0" borderId="4" xfId="0" applyNumberFormat="1" applyFill="1" applyBorder="1" applyProtection="1"/>
    <xf numFmtId="0" fontId="27" fillId="0" borderId="0" xfId="1" applyFont="1" applyAlignment="1">
      <alignment horizontal="left" vertical="top" wrapText="1" indent="1"/>
    </xf>
    <xf numFmtId="166" fontId="4" fillId="0" borderId="8" xfId="0" applyNumberFormat="1" applyFont="1" applyFill="1" applyBorder="1" applyAlignment="1" applyProtection="1">
      <alignment vertical="top" wrapText="1"/>
    </xf>
    <xf numFmtId="0" fontId="4" fillId="0" borderId="12" xfId="0" applyFont="1" applyFill="1" applyBorder="1" applyAlignment="1" applyProtection="1">
      <alignment vertical="top" wrapText="1"/>
    </xf>
    <xf numFmtId="170" fontId="4" fillId="20" borderId="8" xfId="0" applyNumberFormat="1" applyFont="1" applyFill="1" applyBorder="1" applyAlignment="1" applyProtection="1">
      <alignment horizontal="right" vertical="top"/>
    </xf>
    <xf numFmtId="0" fontId="4" fillId="2" borderId="0" xfId="0" applyFont="1" applyFill="1" applyAlignment="1" applyProtection="1">
      <alignment wrapText="1"/>
    </xf>
    <xf numFmtId="0" fontId="4" fillId="3" borderId="0" xfId="0" applyFont="1" applyFill="1" applyAlignment="1" applyProtection="1">
      <alignment wrapText="1"/>
    </xf>
    <xf numFmtId="8" fontId="0" fillId="25" borderId="0" xfId="0" applyNumberFormat="1" applyFill="1" applyProtection="1"/>
    <xf numFmtId="3" fontId="0" fillId="25" borderId="0" xfId="0" applyNumberFormat="1" applyFill="1" applyProtection="1"/>
    <xf numFmtId="0" fontId="48" fillId="25" borderId="0" xfId="1" applyFont="1" applyFill="1" applyProtection="1"/>
    <xf numFmtId="0" fontId="0" fillId="25" borderId="0" xfId="0" applyFill="1" applyAlignment="1" applyProtection="1">
      <alignment horizontal="left" indent="1"/>
    </xf>
    <xf numFmtId="1" fontId="4" fillId="25" borderId="0" xfId="0" applyNumberFormat="1" applyFont="1" applyFill="1" applyBorder="1" applyAlignment="1">
      <alignment horizontal="right" vertical="top"/>
    </xf>
    <xf numFmtId="1" fontId="0" fillId="25" borderId="0" xfId="0" applyNumberFormat="1" applyFill="1" applyAlignment="1" applyProtection="1">
      <alignment horizontal="right"/>
    </xf>
    <xf numFmtId="1" fontId="4" fillId="25" borderId="9" xfId="0" applyNumberFormat="1" applyFont="1" applyFill="1" applyBorder="1" applyAlignment="1">
      <alignment horizontal="right" vertical="top"/>
    </xf>
    <xf numFmtId="1" fontId="4" fillId="25" borderId="0" xfId="0" applyNumberFormat="1" applyFont="1" applyFill="1" applyBorder="1" applyAlignment="1">
      <alignment horizontal="center" vertical="top" wrapText="1"/>
    </xf>
    <xf numFmtId="0" fontId="51" fillId="25" borderId="0" xfId="1" applyFont="1" applyFill="1"/>
    <xf numFmtId="0" fontId="4" fillId="0" borderId="2" xfId="0" applyFont="1" applyFill="1" applyBorder="1" applyAlignment="1" applyProtection="1">
      <alignment horizontal="left" vertical="top" wrapText="1"/>
      <protection locked="0"/>
    </xf>
    <xf numFmtId="0" fontId="4" fillId="24" borderId="39" xfId="0" applyFont="1" applyFill="1" applyBorder="1" applyAlignment="1" applyProtection="1">
      <alignment horizontal="left" vertical="top" wrapText="1"/>
      <protection locked="0"/>
    </xf>
    <xf numFmtId="0" fontId="4" fillId="24" borderId="6" xfId="0" applyFont="1" applyFill="1" applyBorder="1" applyAlignment="1" applyProtection="1">
      <alignment wrapText="1"/>
    </xf>
    <xf numFmtId="167" fontId="4" fillId="24" borderId="10" xfId="0" applyNumberFormat="1" applyFont="1" applyFill="1" applyBorder="1" applyAlignment="1" applyProtection="1">
      <alignment horizontal="left" vertical="top" wrapText="1"/>
    </xf>
    <xf numFmtId="167" fontId="4" fillId="24" borderId="16" xfId="0" applyNumberFormat="1" applyFont="1" applyFill="1" applyBorder="1" applyAlignment="1" applyProtection="1">
      <alignment horizontal="left" vertical="top" wrapText="1"/>
    </xf>
    <xf numFmtId="0" fontId="19" fillId="24" borderId="4" xfId="1" applyFont="1" applyFill="1" applyBorder="1" applyAlignment="1" applyProtection="1">
      <alignment horizontal="left"/>
    </xf>
    <xf numFmtId="167" fontId="4" fillId="24" borderId="41" xfId="0" applyNumberFormat="1" applyFont="1" applyFill="1" applyBorder="1" applyAlignment="1" applyProtection="1">
      <alignment horizontal="left" vertical="top" wrapText="1"/>
      <protection locked="0"/>
    </xf>
    <xf numFmtId="167" fontId="4" fillId="24" borderId="36" xfId="0" applyNumberFormat="1" applyFont="1" applyFill="1" applyBorder="1" applyAlignment="1" applyProtection="1">
      <alignment horizontal="left" vertical="top" wrapText="1"/>
      <protection locked="0"/>
    </xf>
    <xf numFmtId="167" fontId="5" fillId="24" borderId="16" xfId="0" applyNumberFormat="1" applyFont="1" applyFill="1" applyBorder="1" applyAlignment="1" applyProtection="1">
      <alignment horizontal="left" vertical="top" wrapText="1"/>
    </xf>
    <xf numFmtId="0" fontId="4" fillId="0" borderId="0" xfId="0" applyFont="1" applyFill="1" applyProtection="1"/>
    <xf numFmtId="0" fontId="5" fillId="24" borderId="13" xfId="0" applyFont="1" applyFill="1" applyBorder="1" applyAlignment="1" applyProtection="1">
      <alignment wrapText="1"/>
    </xf>
    <xf numFmtId="0" fontId="19" fillId="24" borderId="2" xfId="1" applyFont="1" applyFill="1" applyBorder="1" applyAlignment="1" applyProtection="1">
      <alignment horizontal="left"/>
    </xf>
    <xf numFmtId="167" fontId="5" fillId="24" borderId="13" xfId="0" applyNumberFormat="1" applyFont="1" applyFill="1" applyBorder="1" applyAlignment="1" applyProtection="1">
      <alignment horizontal="left" vertical="top" wrapText="1"/>
    </xf>
    <xf numFmtId="0" fontId="5" fillId="24" borderId="16" xfId="0" applyFont="1" applyFill="1" applyBorder="1" applyAlignment="1" applyProtection="1">
      <alignment wrapText="1"/>
    </xf>
    <xf numFmtId="164" fontId="4" fillId="24" borderId="38" xfId="0" applyNumberFormat="1" applyFont="1" applyFill="1" applyBorder="1" applyAlignment="1" applyProtection="1">
      <alignment horizontal="left" vertical="top" wrapText="1"/>
      <protection locked="0"/>
    </xf>
    <xf numFmtId="0" fontId="5" fillId="24" borderId="2" xfId="0" applyFont="1" applyFill="1" applyBorder="1" applyProtection="1"/>
    <xf numFmtId="0" fontId="5" fillId="24" borderId="4" xfId="0" applyFont="1" applyFill="1" applyBorder="1" applyAlignment="1" applyProtection="1">
      <alignment horizontal="center" wrapText="1"/>
    </xf>
    <xf numFmtId="0" fontId="5" fillId="24" borderId="0" xfId="0" applyFont="1" applyFill="1" applyBorder="1" applyAlignment="1" applyProtection="1">
      <alignment horizontal="right"/>
    </xf>
    <xf numFmtId="0" fontId="19" fillId="24" borderId="51" xfId="1" applyFont="1" applyFill="1" applyBorder="1" applyAlignment="1" applyProtection="1"/>
    <xf numFmtId="0" fontId="0" fillId="7" borderId="0" xfId="0" applyNumberFormat="1" applyFill="1" applyBorder="1" applyAlignment="1" applyProtection="1">
      <alignment horizontal="left" vertical="top" wrapText="1"/>
    </xf>
    <xf numFmtId="0" fontId="0" fillId="7" borderId="0" xfId="0" applyNumberFormat="1" applyFill="1" applyProtection="1"/>
    <xf numFmtId="0" fontId="3" fillId="7" borderId="0" xfId="0" applyNumberFormat="1" applyFont="1" applyFill="1" applyBorder="1" applyAlignment="1" applyProtection="1">
      <alignment horizontal="left" vertical="top" wrapText="1"/>
    </xf>
    <xf numFmtId="0" fontId="0" fillId="0" borderId="0" xfId="0" applyNumberFormat="1" applyFill="1" applyBorder="1" applyAlignment="1" applyProtection="1">
      <alignment horizontal="left" vertical="top" wrapText="1"/>
    </xf>
    <xf numFmtId="0" fontId="0" fillId="7" borderId="0" xfId="0" applyNumberFormat="1" applyFont="1" applyFill="1" applyBorder="1" applyAlignment="1" applyProtection="1">
      <alignment horizontal="left" vertical="top" wrapText="1"/>
    </xf>
    <xf numFmtId="0" fontId="0" fillId="0" borderId="4" xfId="0" applyNumberFormat="1" applyFill="1" applyBorder="1" applyAlignment="1" applyProtection="1">
      <alignment horizontal="left" vertical="top" wrapText="1"/>
    </xf>
    <xf numFmtId="0" fontId="3" fillId="7" borderId="5" xfId="0" applyNumberFormat="1" applyFont="1" applyFill="1" applyBorder="1" applyAlignment="1" applyProtection="1">
      <alignment horizontal="left" vertical="top" wrapText="1"/>
    </xf>
    <xf numFmtId="0" fontId="0" fillId="7" borderId="3" xfId="0" applyFill="1" applyBorder="1" applyProtection="1"/>
    <xf numFmtId="0" fontId="0" fillId="0" borderId="3" xfId="0" applyNumberFormat="1" applyFill="1" applyBorder="1" applyAlignment="1" applyProtection="1">
      <alignment horizontal="left" vertical="top" wrapText="1"/>
    </xf>
    <xf numFmtId="0" fontId="0" fillId="0" borderId="3" xfId="0" applyFill="1" applyBorder="1" applyProtection="1"/>
    <xf numFmtId="0" fontId="6" fillId="7" borderId="0" xfId="0" applyNumberFormat="1" applyFont="1" applyFill="1" applyBorder="1" applyAlignment="1" applyProtection="1">
      <alignment horizontal="left" vertical="top" wrapText="1"/>
    </xf>
    <xf numFmtId="0" fontId="40" fillId="7" borderId="0" xfId="0" applyFont="1" applyFill="1" applyProtection="1"/>
    <xf numFmtId="0" fontId="22" fillId="23" borderId="0" xfId="0" applyFont="1" applyFill="1" applyAlignment="1" applyProtection="1">
      <alignment horizontal="left" indent="1"/>
    </xf>
    <xf numFmtId="0" fontId="0" fillId="0" borderId="0" xfId="0" applyNumberFormat="1" applyFill="1" applyBorder="1" applyAlignment="1" applyProtection="1">
      <alignment horizontal="left" vertical="top"/>
    </xf>
    <xf numFmtId="0" fontId="0" fillId="0" borderId="4" xfId="0" applyNumberFormat="1" applyFill="1" applyBorder="1" applyAlignment="1" applyProtection="1">
      <alignment horizontal="right" vertical="top" wrapText="1"/>
    </xf>
    <xf numFmtId="0" fontId="52" fillId="0" borderId="0" xfId="0" applyFont="1" applyAlignment="1">
      <alignment horizontal="right"/>
    </xf>
    <xf numFmtId="0" fontId="0" fillId="0" borderId="4" xfId="0" applyFill="1" applyBorder="1" applyAlignment="1" applyProtection="1">
      <alignment horizontal="right"/>
    </xf>
    <xf numFmtId="9" fontId="4" fillId="0" borderId="36" xfId="2" applyFont="1" applyFill="1" applyBorder="1" applyAlignment="1" applyProtection="1">
      <alignment horizontal="left" vertical="top" wrapText="1"/>
      <protection locked="0"/>
    </xf>
    <xf numFmtId="9" fontId="4" fillId="0" borderId="35" xfId="2" applyFont="1" applyFill="1" applyBorder="1" applyAlignment="1" applyProtection="1">
      <alignment horizontal="left" vertical="top" wrapText="1"/>
      <protection locked="0"/>
    </xf>
    <xf numFmtId="9" fontId="0" fillId="0" borderId="0" xfId="2" applyFont="1" applyFill="1" applyBorder="1" applyProtection="1"/>
    <xf numFmtId="9" fontId="0" fillId="0" borderId="0" xfId="2" applyFont="1" applyFill="1" applyProtection="1"/>
    <xf numFmtId="0" fontId="0" fillId="28" borderId="0" xfId="0" applyFill="1" applyProtection="1"/>
    <xf numFmtId="0" fontId="0" fillId="28" borderId="0" xfId="0" applyFill="1" applyBorder="1" applyAlignment="1" applyProtection="1">
      <alignment horizontal="left" vertical="top" wrapText="1"/>
    </xf>
    <xf numFmtId="0" fontId="0" fillId="29" borderId="0" xfId="0" applyFill="1" applyProtection="1"/>
    <xf numFmtId="0" fontId="23" fillId="28" borderId="0" xfId="0" applyFont="1" applyFill="1" applyProtection="1"/>
    <xf numFmtId="0" fontId="0" fillId="28" borderId="5" xfId="0" applyFill="1" applyBorder="1" applyAlignment="1" applyProtection="1">
      <alignment horizontal="left" vertical="top" wrapText="1"/>
    </xf>
    <xf numFmtId="0" fontId="0" fillId="28" borderId="10" xfId="0" applyFill="1" applyBorder="1" applyProtection="1"/>
    <xf numFmtId="0" fontId="0" fillId="28" borderId="5" xfId="0" applyFill="1" applyBorder="1" applyProtection="1"/>
    <xf numFmtId="0" fontId="0" fillId="28" borderId="6" xfId="0" applyFill="1" applyBorder="1" applyProtection="1"/>
    <xf numFmtId="9" fontId="4" fillId="7" borderId="0" xfId="0" applyNumberFormat="1" applyFont="1" applyFill="1" applyBorder="1" applyAlignment="1">
      <alignment horizontal="left" vertical="top" wrapText="1"/>
    </xf>
    <xf numFmtId="0" fontId="4" fillId="7" borderId="0" xfId="0" applyFont="1" applyFill="1" applyBorder="1" applyAlignment="1">
      <alignment horizontal="left" vertical="top" wrapText="1"/>
    </xf>
    <xf numFmtId="182" fontId="4" fillId="7" borderId="0" xfId="0" applyNumberFormat="1" applyFont="1" applyFill="1" applyBorder="1" applyAlignment="1">
      <alignment vertical="top"/>
    </xf>
    <xf numFmtId="0" fontId="0" fillId="7" borderId="4" xfId="0" applyNumberFormat="1" applyFill="1" applyBorder="1" applyAlignment="1" applyProtection="1">
      <alignment horizontal="left" vertical="top"/>
    </xf>
    <xf numFmtId="0" fontId="0" fillId="7" borderId="2" xfId="0" applyNumberFormat="1" applyFill="1" applyBorder="1" applyProtection="1"/>
    <xf numFmtId="0" fontId="0" fillId="28" borderId="0" xfId="0" applyFill="1" applyBorder="1" applyAlignment="1" applyProtection="1">
      <alignment horizontal="left" vertical="top"/>
    </xf>
    <xf numFmtId="9" fontId="4" fillId="0" borderId="4" xfId="2" applyFont="1" applyFill="1" applyBorder="1" applyAlignment="1">
      <alignment horizontal="right" vertical="top" wrapText="1"/>
    </xf>
    <xf numFmtId="9" fontId="4" fillId="0" borderId="4" xfId="2" applyFont="1" applyFill="1" applyBorder="1" applyAlignment="1">
      <alignment horizontal="right" vertical="top"/>
    </xf>
    <xf numFmtId="9" fontId="0" fillId="0" borderId="0" xfId="2" applyFont="1" applyFill="1" applyBorder="1" applyAlignment="1" applyProtection="1">
      <alignment horizontal="right" vertical="top"/>
    </xf>
    <xf numFmtId="9" fontId="0" fillId="0" borderId="2" xfId="2" applyFont="1" applyFill="1" applyBorder="1" applyAlignment="1" applyProtection="1">
      <alignment horizontal="right" vertical="top"/>
    </xf>
    <xf numFmtId="0" fontId="0" fillId="0" borderId="0" xfId="0" applyFill="1" applyAlignment="1" applyProtection="1">
      <alignment horizontal="right" vertical="top"/>
    </xf>
    <xf numFmtId="2" fontId="0" fillId="29" borderId="16" xfId="0" applyNumberFormat="1" applyFill="1" applyBorder="1" applyAlignment="1" applyProtection="1">
      <alignment horizontal="right" vertical="top"/>
    </xf>
    <xf numFmtId="2" fontId="0" fillId="29" borderId="9" xfId="0" applyNumberFormat="1" applyFill="1" applyBorder="1" applyAlignment="1" applyProtection="1">
      <alignment horizontal="right" vertical="top"/>
    </xf>
    <xf numFmtId="0" fontId="0" fillId="29" borderId="13" xfId="0" applyFill="1" applyBorder="1" applyAlignment="1" applyProtection="1">
      <alignment horizontal="right" vertical="top"/>
    </xf>
    <xf numFmtId="2" fontId="0" fillId="29" borderId="4" xfId="0" applyNumberFormat="1" applyFill="1" applyBorder="1" applyAlignment="1" applyProtection="1">
      <alignment horizontal="right" vertical="top"/>
    </xf>
    <xf numFmtId="2" fontId="0" fillId="29" borderId="0" xfId="0" applyNumberFormat="1" applyFill="1" applyBorder="1" applyAlignment="1" applyProtection="1">
      <alignment horizontal="right" vertical="top"/>
    </xf>
    <xf numFmtId="0" fontId="0" fillId="29" borderId="2" xfId="0" applyFill="1" applyBorder="1" applyAlignment="1" applyProtection="1">
      <alignment horizontal="right" vertical="top"/>
    </xf>
    <xf numFmtId="0" fontId="45" fillId="7" borderId="0" xfId="0" applyFont="1" applyFill="1" applyProtection="1"/>
    <xf numFmtId="0" fontId="0" fillId="7" borderId="4" xfId="0" applyFill="1" applyBorder="1" applyAlignment="1" applyProtection="1">
      <alignment horizontal="center"/>
    </xf>
    <xf numFmtId="0" fontId="3" fillId="25" borderId="0" xfId="0" applyFont="1" applyFill="1" applyProtection="1"/>
    <xf numFmtId="0" fontId="0" fillId="29" borderId="0" xfId="0" applyFill="1" applyBorder="1" applyProtection="1"/>
    <xf numFmtId="170" fontId="0" fillId="29" borderId="0" xfId="0" applyNumberFormat="1" applyFill="1" applyBorder="1" applyProtection="1"/>
    <xf numFmtId="0" fontId="0" fillId="28" borderId="5" xfId="0" applyFill="1" applyBorder="1" applyAlignment="1" applyProtection="1">
      <alignment horizontal="center"/>
    </xf>
    <xf numFmtId="0" fontId="0" fillId="7" borderId="7" xfId="0" applyFill="1" applyBorder="1" applyAlignment="1" applyProtection="1">
      <alignment horizontal="center"/>
    </xf>
    <xf numFmtId="2" fontId="4" fillId="0" borderId="0" xfId="0" applyNumberFormat="1" applyFont="1" applyFill="1" applyBorder="1" applyAlignment="1">
      <alignment horizontal="right" vertical="top" wrapText="1"/>
    </xf>
    <xf numFmtId="0" fontId="0" fillId="7" borderId="3" xfId="0" applyFill="1" applyBorder="1" applyAlignment="1" applyProtection="1">
      <alignment horizontal="center"/>
    </xf>
    <xf numFmtId="170" fontId="0" fillId="29" borderId="16" xfId="0" applyNumberFormat="1" applyFill="1" applyBorder="1" applyAlignment="1" applyProtection="1">
      <alignment horizontal="right" vertical="top"/>
    </xf>
    <xf numFmtId="170" fontId="0" fillId="29" borderId="4" xfId="0" applyNumberFormat="1" applyFill="1" applyBorder="1" applyAlignment="1" applyProtection="1">
      <alignment horizontal="right" vertical="top"/>
    </xf>
    <xf numFmtId="0" fontId="0" fillId="28" borderId="10" xfId="0" applyFill="1" applyBorder="1" applyAlignment="1" applyProtection="1">
      <alignment horizontal="center"/>
    </xf>
    <xf numFmtId="0" fontId="3" fillId="7" borderId="4" xfId="0" applyFont="1" applyFill="1" applyBorder="1" applyAlignment="1" applyProtection="1">
      <alignment horizontal="center"/>
    </xf>
    <xf numFmtId="0" fontId="0" fillId="7" borderId="2" xfId="0" applyNumberFormat="1" applyFill="1" applyBorder="1" applyAlignment="1" applyProtection="1">
      <alignment horizontal="center" vertical="top" wrapText="1"/>
    </xf>
    <xf numFmtId="0" fontId="0" fillId="7" borderId="2" xfId="0" applyFill="1" applyBorder="1" applyAlignment="1" applyProtection="1">
      <alignment horizontal="center"/>
    </xf>
    <xf numFmtId="0" fontId="0" fillId="7" borderId="2" xfId="0" applyFill="1" applyBorder="1" applyAlignment="1" applyProtection="1">
      <alignment horizontal="left" vertical="top" wrapText="1"/>
    </xf>
    <xf numFmtId="0" fontId="0" fillId="7" borderId="0" xfId="0" applyNumberFormat="1" applyFont="1" applyFill="1" applyBorder="1" applyAlignment="1" applyProtection="1">
      <alignment horizontal="center" vertical="top"/>
    </xf>
    <xf numFmtId="180" fontId="0" fillId="29" borderId="4" xfId="0" applyNumberFormat="1" applyFill="1" applyBorder="1" applyAlignment="1" applyProtection="1">
      <alignment horizontal="right" vertical="top"/>
    </xf>
    <xf numFmtId="0" fontId="0" fillId="0" borderId="0" xfId="0" applyFill="1" applyAlignment="1" applyProtection="1">
      <alignment horizontal="left" vertical="top"/>
    </xf>
    <xf numFmtId="0" fontId="0" fillId="0" borderId="0" xfId="0" applyFill="1" applyAlignment="1">
      <alignment horizontal="left" vertical="top"/>
    </xf>
    <xf numFmtId="0" fontId="0" fillId="0" borderId="9" xfId="0" applyFill="1" applyBorder="1" applyAlignment="1">
      <alignment horizontal="left" vertical="top"/>
    </xf>
    <xf numFmtId="0" fontId="0" fillId="7" borderId="0" xfId="0" applyFill="1" applyBorder="1" applyAlignment="1" applyProtection="1">
      <alignment horizontal="center"/>
    </xf>
    <xf numFmtId="0" fontId="0" fillId="28" borderId="4" xfId="0" applyFill="1" applyBorder="1" applyAlignment="1" applyProtection="1">
      <alignment horizontal="center"/>
    </xf>
    <xf numFmtId="0" fontId="0" fillId="0" borderId="16" xfId="0" applyFill="1" applyBorder="1" applyProtection="1"/>
    <xf numFmtId="0" fontId="3" fillId="7" borderId="2" xfId="0" applyFont="1" applyFill="1" applyBorder="1" applyAlignment="1" applyProtection="1">
      <alignment horizontal="left" indent="4"/>
    </xf>
    <xf numFmtId="0" fontId="4" fillId="3" borderId="46" xfId="0" applyFont="1" applyFill="1" applyBorder="1" applyAlignment="1" applyProtection="1">
      <alignment vertical="top" wrapText="1"/>
    </xf>
    <xf numFmtId="0" fontId="4" fillId="3" borderId="3" xfId="0" applyFont="1" applyFill="1" applyBorder="1" applyAlignment="1" applyProtection="1">
      <alignment vertical="top" wrapText="1"/>
    </xf>
    <xf numFmtId="0" fontId="0" fillId="0" borderId="3" xfId="0" applyFont="1" applyBorder="1" applyAlignment="1">
      <alignment wrapText="1"/>
    </xf>
    <xf numFmtId="0" fontId="0" fillId="0" borderId="3" xfId="0" applyFont="1" applyBorder="1"/>
    <xf numFmtId="0" fontId="4" fillId="3" borderId="3" xfId="0" applyFont="1" applyFill="1" applyBorder="1" applyProtection="1"/>
    <xf numFmtId="0" fontId="5" fillId="3" borderId="7" xfId="0" applyFont="1" applyFill="1" applyBorder="1" applyAlignment="1" applyProtection="1">
      <alignment horizontal="left" wrapText="1"/>
    </xf>
    <xf numFmtId="0" fontId="5" fillId="3" borderId="3" xfId="0" applyFont="1" applyFill="1" applyBorder="1" applyAlignment="1" applyProtection="1">
      <alignment horizontal="left" wrapText="1"/>
    </xf>
    <xf numFmtId="0" fontId="5" fillId="3" borderId="13" xfId="0" applyFont="1" applyFill="1" applyBorder="1" applyAlignment="1" applyProtection="1">
      <alignment wrapText="1"/>
    </xf>
    <xf numFmtId="0" fontId="32" fillId="22" borderId="5" xfId="0" applyFont="1" applyFill="1" applyBorder="1" applyProtection="1"/>
    <xf numFmtId="0" fontId="32" fillId="22" borderId="5" xfId="0" applyFont="1" applyFill="1" applyBorder="1" applyAlignment="1" applyProtection="1">
      <alignment horizontal="right" vertical="top"/>
    </xf>
    <xf numFmtId="0" fontId="15" fillId="22" borderId="0" xfId="0" applyFont="1" applyFill="1" applyBorder="1" applyAlignment="1" applyProtection="1">
      <alignment horizontal="left"/>
    </xf>
    <xf numFmtId="0" fontId="15" fillId="22" borderId="0" xfId="0" applyFont="1" applyFill="1" applyBorder="1" applyAlignment="1" applyProtection="1">
      <alignment horizontal="right"/>
    </xf>
    <xf numFmtId="0" fontId="4" fillId="21" borderId="5" xfId="0" applyFont="1" applyFill="1" applyBorder="1" applyProtection="1"/>
    <xf numFmtId="1" fontId="15" fillId="22" borderId="0" xfId="0" applyNumberFormat="1" applyFont="1" applyFill="1" applyBorder="1" applyProtection="1"/>
    <xf numFmtId="1" fontId="15" fillId="22" borderId="0" xfId="0" applyNumberFormat="1" applyFont="1" applyFill="1" applyBorder="1" applyAlignment="1" applyProtection="1">
      <alignment horizontal="left" indent="1"/>
    </xf>
    <xf numFmtId="0" fontId="32" fillId="22" borderId="5" xfId="0" applyFont="1" applyFill="1" applyBorder="1" applyAlignment="1" applyProtection="1">
      <alignment horizontal="left" indent="1"/>
    </xf>
    <xf numFmtId="0" fontId="4" fillId="21" borderId="0" xfId="0" applyFont="1" applyFill="1" applyAlignment="1" applyProtection="1">
      <alignment horizontal="left" indent="1"/>
    </xf>
    <xf numFmtId="0" fontId="15" fillId="22" borderId="0" xfId="0" applyFont="1" applyFill="1" applyBorder="1" applyAlignment="1" applyProtection="1"/>
    <xf numFmtId="9" fontId="4" fillId="25" borderId="0" xfId="0" applyNumberFormat="1" applyFont="1" applyFill="1" applyBorder="1" applyAlignment="1">
      <alignment horizontal="left" vertical="top" wrapText="1"/>
    </xf>
    <xf numFmtId="182" fontId="4" fillId="25" borderId="0" xfId="0" applyNumberFormat="1" applyFont="1" applyFill="1" applyBorder="1" applyAlignment="1">
      <alignment vertical="top"/>
    </xf>
    <xf numFmtId="0" fontId="0" fillId="25" borderId="0" xfId="0" applyFill="1" applyBorder="1" applyProtection="1"/>
    <xf numFmtId="0" fontId="0" fillId="30" borderId="0" xfId="0" applyFill="1" applyProtection="1"/>
    <xf numFmtId="0" fontId="46" fillId="30" borderId="0" xfId="0" applyFont="1" applyFill="1" applyProtection="1"/>
    <xf numFmtId="0" fontId="4" fillId="30" borderId="0" xfId="0" applyFont="1" applyFill="1" applyBorder="1" applyAlignment="1">
      <alignment horizontal="left" vertical="top" wrapText="1"/>
    </xf>
    <xf numFmtId="2" fontId="4" fillId="30" borderId="0" xfId="0" applyNumberFormat="1" applyFont="1" applyFill="1" applyAlignment="1">
      <alignment vertical="top"/>
    </xf>
    <xf numFmtId="8" fontId="49" fillId="25" borderId="0" xfId="0" applyNumberFormat="1" applyFont="1" applyFill="1" applyProtection="1"/>
    <xf numFmtId="183" fontId="4" fillId="21" borderId="4" xfId="0" applyNumberFormat="1" applyFont="1" applyFill="1" applyBorder="1" applyAlignment="1" applyProtection="1">
      <alignment horizontal="right" vertical="top" wrapText="1"/>
    </xf>
    <xf numFmtId="184" fontId="4" fillId="20" borderId="4" xfId="0" applyNumberFormat="1" applyFont="1" applyFill="1" applyBorder="1" applyAlignment="1" applyProtection="1">
      <alignment horizontal="right" vertical="top"/>
    </xf>
    <xf numFmtId="184" fontId="13" fillId="20" borderId="0" xfId="0" applyNumberFormat="1" applyFont="1" applyFill="1" applyBorder="1" applyAlignment="1" applyProtection="1">
      <alignment vertical="top" wrapText="1"/>
      <protection locked="0"/>
    </xf>
    <xf numFmtId="184" fontId="5" fillId="21" borderId="0" xfId="0" applyNumberFormat="1" applyFont="1" applyFill="1" applyProtection="1"/>
    <xf numFmtId="184" fontId="0" fillId="7" borderId="0" xfId="0" applyNumberFormat="1" applyFill="1" applyAlignment="1" applyProtection="1">
      <alignment horizontal="right" vertical="top"/>
      <protection locked="0"/>
    </xf>
    <xf numFmtId="0" fontId="4" fillId="11" borderId="0" xfId="0" applyFont="1" applyFill="1" applyAlignment="1" applyProtection="1"/>
    <xf numFmtId="0" fontId="46" fillId="25" borderId="0" xfId="0" applyFont="1" applyFill="1" applyProtection="1"/>
    <xf numFmtId="8" fontId="53" fillId="25" borderId="0" xfId="0" applyNumberFormat="1" applyFont="1" applyFill="1" applyProtection="1"/>
    <xf numFmtId="0" fontId="49" fillId="25" borderId="0" xfId="0" applyFont="1" applyFill="1"/>
    <xf numFmtId="0" fontId="50" fillId="25" borderId="0" xfId="0" applyFont="1" applyFill="1" applyBorder="1" applyAlignment="1">
      <alignment horizontal="left" vertical="top" wrapText="1"/>
    </xf>
    <xf numFmtId="0" fontId="49" fillId="25" borderId="0" xfId="0" applyFont="1" applyFill="1" applyProtection="1"/>
    <xf numFmtId="2" fontId="50" fillId="25" borderId="0" xfId="0" applyNumberFormat="1" applyFont="1" applyFill="1" applyAlignment="1">
      <alignment vertical="top"/>
    </xf>
    <xf numFmtId="0" fontId="54" fillId="11" borderId="0" xfId="0" applyFont="1" applyFill="1" applyAlignment="1" applyProtection="1">
      <alignment horizontal="left"/>
    </xf>
    <xf numFmtId="0" fontId="4" fillId="11" borderId="0" xfId="0" applyFont="1" applyFill="1" applyAlignment="1" applyProtection="1"/>
    <xf numFmtId="0" fontId="5" fillId="11" borderId="5" xfId="0" applyFont="1" applyFill="1" applyBorder="1" applyAlignment="1" applyProtection="1"/>
    <xf numFmtId="0" fontId="4" fillId="11" borderId="46" xfId="0" applyFont="1" applyFill="1" applyBorder="1" applyAlignment="1" applyProtection="1"/>
    <xf numFmtId="0" fontId="4" fillId="11" borderId="3" xfId="0" applyFont="1" applyFill="1" applyBorder="1" applyAlignment="1" applyProtection="1"/>
    <xf numFmtId="0" fontId="4" fillId="11" borderId="0" xfId="0" applyFont="1" applyFill="1" applyBorder="1" applyAlignment="1" applyProtection="1"/>
    <xf numFmtId="185" fontId="4" fillId="11" borderId="0" xfId="2" applyNumberFormat="1" applyFont="1" applyFill="1" applyAlignment="1" applyProtection="1">
      <alignment horizontal="left"/>
    </xf>
    <xf numFmtId="0" fontId="5" fillId="12" borderId="46" xfId="0" applyFont="1" applyFill="1" applyBorder="1" applyProtection="1"/>
    <xf numFmtId="167" fontId="4" fillId="13" borderId="3" xfId="0" applyNumberFormat="1" applyFont="1" applyFill="1" applyBorder="1" applyAlignment="1" applyProtection="1">
      <alignment horizontal="right" vertical="top"/>
    </xf>
    <xf numFmtId="167" fontId="4" fillId="14" borderId="3" xfId="0" applyNumberFormat="1" applyFont="1" applyFill="1" applyBorder="1" applyAlignment="1" applyProtection="1">
      <alignment horizontal="right" vertical="top"/>
    </xf>
    <xf numFmtId="167" fontId="4" fillId="11" borderId="3" xfId="0" applyNumberFormat="1" applyFont="1" applyFill="1" applyBorder="1" applyAlignment="1" applyProtection="1">
      <alignment horizontal="right" vertical="top"/>
    </xf>
    <xf numFmtId="2" fontId="4" fillId="11" borderId="0" xfId="0" applyNumberFormat="1" applyFont="1" applyFill="1" applyProtection="1"/>
    <xf numFmtId="165" fontId="4" fillId="11" borderId="0" xfId="0" applyNumberFormat="1" applyFont="1" applyFill="1" applyAlignment="1" applyProtection="1">
      <alignment horizontal="left"/>
    </xf>
    <xf numFmtId="8" fontId="4" fillId="11" borderId="0" xfId="0" applyNumberFormat="1" applyFont="1" applyFill="1" applyAlignment="1" applyProtection="1"/>
    <xf numFmtId="38" fontId="4" fillId="11" borderId="0" xfId="0" applyNumberFormat="1" applyFont="1" applyFill="1" applyAlignment="1" applyProtection="1">
      <alignment vertical="top"/>
    </xf>
    <xf numFmtId="38" fontId="4" fillId="11" borderId="9" xfId="0" applyNumberFormat="1" applyFont="1" applyFill="1" applyBorder="1" applyAlignment="1" applyProtection="1"/>
    <xf numFmtId="185" fontId="4" fillId="23" borderId="0" xfId="2" applyNumberFormat="1" applyFont="1" applyFill="1"/>
    <xf numFmtId="164" fontId="4" fillId="23" borderId="0" xfId="0" applyNumberFormat="1" applyFont="1" applyFill="1"/>
    <xf numFmtId="0" fontId="55" fillId="23" borderId="0" xfId="0" applyFont="1" applyFill="1" applyAlignment="1">
      <alignment wrapText="1"/>
    </xf>
    <xf numFmtId="167" fontId="4" fillId="23" borderId="0" xfId="0" applyNumberFormat="1" applyFont="1" applyFill="1"/>
    <xf numFmtId="0" fontId="4" fillId="23" borderId="0" xfId="0" applyFont="1" applyFill="1" applyAlignment="1"/>
    <xf numFmtId="0" fontId="4" fillId="11" borderId="7" xfId="0" applyFont="1" applyFill="1" applyBorder="1" applyProtection="1"/>
    <xf numFmtId="0" fontId="5" fillId="23" borderId="4" xfId="0" applyFont="1" applyFill="1" applyBorder="1" applyProtection="1"/>
    <xf numFmtId="0" fontId="4" fillId="23" borderId="3" xfId="0" applyFont="1" applyFill="1" applyBorder="1" applyAlignment="1" applyProtection="1">
      <alignment wrapText="1"/>
    </xf>
    <xf numFmtId="0" fontId="4" fillId="23" borderId="7" xfId="0" applyFont="1" applyFill="1" applyBorder="1" applyAlignment="1" applyProtection="1">
      <alignment wrapText="1"/>
    </xf>
    <xf numFmtId="0" fontId="4" fillId="23" borderId="46" xfId="0" applyFont="1" applyFill="1" applyBorder="1" applyAlignment="1" applyProtection="1">
      <alignment wrapText="1"/>
    </xf>
    <xf numFmtId="0" fontId="4" fillId="23" borderId="16" xfId="0" applyFont="1" applyFill="1" applyBorder="1" applyProtection="1"/>
    <xf numFmtId="0" fontId="4" fillId="23" borderId="3" xfId="0" applyFont="1" applyFill="1" applyBorder="1" applyProtection="1"/>
    <xf numFmtId="0" fontId="4" fillId="23" borderId="52" xfId="0" applyFont="1" applyFill="1" applyBorder="1" applyAlignment="1" applyProtection="1">
      <alignment wrapText="1"/>
    </xf>
    <xf numFmtId="0" fontId="4" fillId="23" borderId="36" xfId="0" applyFont="1" applyFill="1" applyBorder="1" applyProtection="1"/>
    <xf numFmtId="0" fontId="4" fillId="23" borderId="53" xfId="0" applyFont="1" applyFill="1" applyBorder="1" applyAlignment="1" applyProtection="1">
      <alignment wrapText="1"/>
    </xf>
    <xf numFmtId="0" fontId="4" fillId="23" borderId="19" xfId="0" applyFont="1" applyFill="1" applyBorder="1" applyProtection="1"/>
    <xf numFmtId="167" fontId="4" fillId="23" borderId="25" xfId="0" applyNumberFormat="1" applyFont="1" applyFill="1" applyBorder="1" applyAlignment="1" applyProtection="1">
      <alignment horizontal="right" vertical="top" wrapText="1"/>
      <protection locked="0"/>
    </xf>
    <xf numFmtId="167" fontId="4" fillId="0" borderId="25" xfId="0" applyNumberFormat="1" applyFont="1" applyFill="1" applyBorder="1" applyAlignment="1" applyProtection="1">
      <alignment horizontal="right" vertical="top" wrapText="1"/>
      <protection locked="0"/>
    </xf>
    <xf numFmtId="167" fontId="4" fillId="23" borderId="36" xfId="0" applyNumberFormat="1" applyFont="1" applyFill="1" applyBorder="1" applyAlignment="1" applyProtection="1">
      <alignment horizontal="right" vertical="top" wrapText="1"/>
      <protection locked="0"/>
    </xf>
    <xf numFmtId="165" fontId="4" fillId="23" borderId="0" xfId="2" applyNumberFormat="1" applyFont="1" applyFill="1"/>
    <xf numFmtId="167" fontId="4" fillId="23" borderId="3" xfId="0" applyNumberFormat="1" applyFont="1" applyFill="1" applyBorder="1" applyAlignment="1" applyProtection="1">
      <alignment wrapText="1"/>
    </xf>
    <xf numFmtId="167" fontId="4" fillId="23" borderId="52" xfId="0" applyNumberFormat="1" applyFont="1" applyFill="1" applyBorder="1" applyAlignment="1" applyProtection="1">
      <alignment wrapText="1"/>
    </xf>
    <xf numFmtId="167" fontId="4" fillId="23" borderId="36" xfId="0" applyNumberFormat="1" applyFont="1" applyFill="1" applyBorder="1" applyProtection="1"/>
    <xf numFmtId="167" fontId="4" fillId="23" borderId="54" xfId="0" applyNumberFormat="1" applyFont="1" applyFill="1" applyBorder="1" applyProtection="1"/>
    <xf numFmtId="167" fontId="4" fillId="23" borderId="52" xfId="0" applyNumberFormat="1" applyFont="1" applyFill="1" applyBorder="1" applyAlignment="1" applyProtection="1">
      <alignment vertical="top" wrapText="1"/>
    </xf>
    <xf numFmtId="167" fontId="4" fillId="23" borderId="36" xfId="0" applyNumberFormat="1" applyFont="1" applyFill="1" applyBorder="1" applyAlignment="1" applyProtection="1">
      <alignment vertical="top"/>
    </xf>
    <xf numFmtId="0" fontId="5" fillId="11" borderId="10" xfId="0" applyFont="1" applyFill="1" applyBorder="1" applyAlignment="1" applyProtection="1">
      <alignment vertical="top" wrapText="1"/>
    </xf>
    <xf numFmtId="0" fontId="5" fillId="12" borderId="16" xfId="0" applyFont="1" applyFill="1" applyBorder="1" applyProtection="1"/>
    <xf numFmtId="0" fontId="4" fillId="11" borderId="4" xfId="0" applyFont="1" applyFill="1" applyBorder="1" applyAlignment="1" applyProtection="1"/>
    <xf numFmtId="167" fontId="4" fillId="13" borderId="4" xfId="0" applyNumberFormat="1" applyFont="1" applyFill="1" applyBorder="1" applyAlignment="1" applyProtection="1">
      <alignment horizontal="right" vertical="top"/>
    </xf>
    <xf numFmtId="167" fontId="4" fillId="14" borderId="4" xfId="0" applyNumberFormat="1" applyFont="1" applyFill="1" applyBorder="1" applyAlignment="1" applyProtection="1">
      <alignment horizontal="right" vertical="top"/>
    </xf>
    <xf numFmtId="0" fontId="4" fillId="11" borderId="16" xfId="0" applyFont="1" applyFill="1" applyBorder="1" applyAlignment="1" applyProtection="1"/>
    <xf numFmtId="0" fontId="4" fillId="11" borderId="4" xfId="0" applyFont="1" applyFill="1" applyBorder="1" applyAlignment="1" applyProtection="1">
      <alignment vertical="top"/>
    </xf>
    <xf numFmtId="167" fontId="4" fillId="11" borderId="0" xfId="0" applyNumberFormat="1" applyFont="1" applyFill="1" applyBorder="1" applyAlignment="1" applyProtection="1"/>
    <xf numFmtId="38" fontId="4" fillId="11" borderId="0" xfId="0" applyNumberFormat="1" applyFont="1" applyFill="1" applyBorder="1" applyAlignment="1" applyProtection="1"/>
    <xf numFmtId="166" fontId="10" fillId="11" borderId="2" xfId="0" applyNumberFormat="1" applyFont="1" applyFill="1" applyBorder="1" applyAlignment="1" applyProtection="1">
      <alignment horizontal="left" vertical="top" wrapText="1" indent="1"/>
    </xf>
    <xf numFmtId="0" fontId="10" fillId="11" borderId="2" xfId="0" applyFont="1" applyFill="1" applyBorder="1" applyAlignment="1" applyProtection="1"/>
    <xf numFmtId="38" fontId="4" fillId="11" borderId="3" xfId="0" applyNumberFormat="1" applyFont="1" applyFill="1" applyBorder="1" applyAlignment="1" applyProtection="1"/>
    <xf numFmtId="8" fontId="4" fillId="11" borderId="0" xfId="0" applyNumberFormat="1" applyFont="1" applyFill="1" applyBorder="1" applyAlignment="1" applyProtection="1"/>
    <xf numFmtId="0" fontId="10" fillId="11" borderId="2" xfId="0" applyFont="1" applyFill="1" applyBorder="1" applyAlignment="1" applyProtection="1">
      <alignment wrapText="1"/>
    </xf>
    <xf numFmtId="167" fontId="4" fillId="11" borderId="11" xfId="0" applyNumberFormat="1" applyFont="1" applyFill="1" applyBorder="1" applyAlignment="1">
      <alignment horizontal="right" vertical="top"/>
    </xf>
    <xf numFmtId="167" fontId="4" fillId="11" borderId="12" xfId="0" applyNumberFormat="1" applyFont="1" applyFill="1" applyBorder="1" applyAlignment="1">
      <alignment horizontal="right" vertical="top"/>
    </xf>
    <xf numFmtId="167" fontId="4" fillId="11" borderId="0" xfId="0" applyNumberFormat="1" applyFont="1" applyFill="1" applyAlignment="1">
      <alignment horizontal="right" vertical="top"/>
    </xf>
    <xf numFmtId="167" fontId="4" fillId="11" borderId="4" xfId="0" applyNumberFormat="1" applyFont="1" applyFill="1" applyBorder="1" applyAlignment="1">
      <alignment horizontal="right" vertical="top"/>
    </xf>
    <xf numFmtId="167" fontId="4" fillId="11" borderId="2" xfId="0" applyNumberFormat="1" applyFont="1" applyFill="1" applyBorder="1" applyAlignment="1">
      <alignment horizontal="right" vertical="top"/>
    </xf>
    <xf numFmtId="0" fontId="5" fillId="11" borderId="8" xfId="0" applyFont="1" applyFill="1" applyBorder="1" applyAlignment="1">
      <alignment wrapText="1"/>
    </xf>
    <xf numFmtId="0" fontId="5" fillId="11" borderId="0" xfId="0" applyFont="1" applyFill="1" applyAlignment="1">
      <alignment wrapText="1"/>
    </xf>
    <xf numFmtId="0" fontId="7" fillId="11" borderId="0" xfId="0" applyFont="1" applyFill="1" applyAlignment="1" applyProtection="1"/>
    <xf numFmtId="0" fontId="5" fillId="25" borderId="4" xfId="0" applyFont="1" applyFill="1" applyBorder="1" applyAlignment="1">
      <alignment horizontal="left" indent="3"/>
    </xf>
    <xf numFmtId="0" fontId="5" fillId="25" borderId="4" xfId="0" applyFont="1" applyFill="1" applyBorder="1" applyAlignment="1">
      <alignment horizontal="center"/>
    </xf>
    <xf numFmtId="0" fontId="0" fillId="7" borderId="0" xfId="0" applyFill="1" applyAlignment="1" applyProtection="1"/>
    <xf numFmtId="0" fontId="0" fillId="11" borderId="0" xfId="0" quotePrefix="1" applyFont="1" applyFill="1" applyAlignment="1" applyProtection="1">
      <alignment horizontal="left"/>
    </xf>
    <xf numFmtId="0" fontId="56" fillId="7" borderId="0" xfId="0" applyFont="1" applyFill="1" applyAlignment="1" applyProtection="1">
      <alignment horizontal="left"/>
    </xf>
    <xf numFmtId="0" fontId="56" fillId="7" borderId="0" xfId="0" applyFont="1" applyFill="1" applyProtection="1"/>
    <xf numFmtId="0" fontId="0" fillId="28" borderId="5" xfId="0" applyFill="1" applyBorder="1" applyAlignment="1" applyProtection="1">
      <alignment horizontal="center" wrapText="1"/>
    </xf>
    <xf numFmtId="0" fontId="0" fillId="28" borderId="6" xfId="0" applyFill="1" applyBorder="1" applyAlignment="1" applyProtection="1">
      <alignment horizontal="center" wrapText="1"/>
    </xf>
    <xf numFmtId="0" fontId="0" fillId="28" borderId="10" xfId="0" applyFill="1" applyBorder="1" applyAlignment="1" applyProtection="1">
      <alignment horizontal="center" wrapText="1"/>
    </xf>
    <xf numFmtId="0" fontId="4" fillId="7" borderId="10" xfId="0" applyFont="1" applyFill="1" applyBorder="1" applyAlignment="1" applyProtection="1">
      <alignment horizontal="center" wrapText="1"/>
    </xf>
    <xf numFmtId="0" fontId="0" fillId="7" borderId="5" xfId="0" applyFont="1" applyFill="1" applyBorder="1" applyAlignment="1" applyProtection="1">
      <alignment horizontal="center" wrapText="1"/>
    </xf>
    <xf numFmtId="166" fontId="10" fillId="7" borderId="5" xfId="0" applyNumberFormat="1" applyFont="1" applyFill="1" applyBorder="1" applyAlignment="1" applyProtection="1">
      <alignment horizontal="center" wrapText="1"/>
    </xf>
    <xf numFmtId="0" fontId="3" fillId="7" borderId="7" xfId="0" applyNumberFormat="1" applyFont="1" applyFill="1" applyBorder="1" applyAlignment="1" applyProtection="1">
      <alignment horizontal="center" vertical="top" wrapText="1"/>
    </xf>
    <xf numFmtId="0" fontId="56" fillId="25" borderId="0" xfId="0" applyFont="1" applyFill="1" applyBorder="1"/>
    <xf numFmtId="0" fontId="56" fillId="25" borderId="0" xfId="0" applyFont="1" applyFill="1"/>
    <xf numFmtId="0" fontId="27" fillId="25" borderId="0" xfId="0" applyFont="1" applyFill="1"/>
    <xf numFmtId="0" fontId="0" fillId="30" borderId="0" xfId="0" applyFill="1" applyAlignment="1" applyProtection="1">
      <alignment horizontal="left" indent="1"/>
    </xf>
    <xf numFmtId="0" fontId="13" fillId="25" borderId="0" xfId="0" applyFont="1" applyFill="1" applyBorder="1" applyAlignment="1">
      <alignment horizontal="left" vertical="top"/>
    </xf>
    <xf numFmtId="0" fontId="13" fillId="25" borderId="0" xfId="0" applyFont="1" applyFill="1" applyBorder="1" applyAlignment="1">
      <alignment horizontal="left" vertical="top" indent="1"/>
    </xf>
    <xf numFmtId="0" fontId="27" fillId="30" borderId="0" xfId="0" applyFont="1" applyFill="1" applyProtection="1"/>
    <xf numFmtId="0" fontId="57" fillId="25" borderId="0" xfId="0" applyFont="1" applyFill="1" applyBorder="1" applyAlignment="1">
      <alignment horizontal="left" vertical="top"/>
    </xf>
    <xf numFmtId="8" fontId="27" fillId="25" borderId="0" xfId="0" applyNumberFormat="1" applyFont="1" applyFill="1" applyProtection="1"/>
    <xf numFmtId="8" fontId="27" fillId="25" borderId="0" xfId="0" applyNumberFormat="1" applyFont="1" applyFill="1" applyAlignment="1" applyProtection="1">
      <alignment horizontal="left"/>
    </xf>
    <xf numFmtId="0" fontId="27" fillId="25" borderId="0" xfId="0" applyFont="1" applyFill="1" applyAlignment="1">
      <alignment horizontal="left" indent="1"/>
    </xf>
    <xf numFmtId="0" fontId="0" fillId="25" borderId="0" xfId="0" applyFill="1" applyBorder="1" applyAlignment="1">
      <alignment wrapText="1"/>
    </xf>
    <xf numFmtId="0" fontId="0" fillId="25" borderId="0" xfId="0" applyFont="1" applyFill="1" applyProtection="1"/>
    <xf numFmtId="49" fontId="4" fillId="23" borderId="0" xfId="0" applyNumberFormat="1" applyFont="1" applyFill="1" applyAlignment="1" applyProtection="1">
      <alignment horizontal="left" indent="1"/>
    </xf>
    <xf numFmtId="0" fontId="4" fillId="24" borderId="0" xfId="0" applyFont="1" applyFill="1" applyAlignment="1" applyProtection="1">
      <alignment horizontal="left" indent="1"/>
    </xf>
    <xf numFmtId="2" fontId="8" fillId="24" borderId="0" xfId="1" quotePrefix="1" applyNumberFormat="1" applyFill="1" applyAlignment="1" applyProtection="1"/>
    <xf numFmtId="170" fontId="4" fillId="0" borderId="32" xfId="0" applyNumberFormat="1" applyFont="1" applyFill="1" applyBorder="1" applyAlignment="1" applyProtection="1">
      <alignment horizontal="right" vertical="top"/>
    </xf>
    <xf numFmtId="170" fontId="4" fillId="0" borderId="31" xfId="0" applyNumberFormat="1" applyFont="1" applyFill="1" applyBorder="1" applyAlignment="1" applyProtection="1">
      <alignment horizontal="right" vertical="top"/>
    </xf>
    <xf numFmtId="170" fontId="4" fillId="0" borderId="32" xfId="0" applyNumberFormat="1" applyFont="1" applyFill="1" applyBorder="1" applyAlignment="1" applyProtection="1">
      <alignment horizontal="right" vertical="top"/>
      <protection locked="0"/>
    </xf>
    <xf numFmtId="170" fontId="4" fillId="0" borderId="10" xfId="0" applyNumberFormat="1" applyFont="1" applyFill="1" applyBorder="1" applyAlignment="1" applyProtection="1">
      <alignment horizontal="right" vertical="top"/>
      <protection locked="0"/>
    </xf>
    <xf numFmtId="170" fontId="4" fillId="0" borderId="4" xfId="0" applyNumberFormat="1" applyFont="1" applyFill="1" applyBorder="1" applyAlignment="1" applyProtection="1">
      <alignment horizontal="right" vertical="top"/>
      <protection locked="0"/>
    </xf>
    <xf numFmtId="183" fontId="4" fillId="0" borderId="0" xfId="0" applyNumberFormat="1" applyFont="1" applyFill="1" applyAlignment="1" applyProtection="1">
      <alignment horizontal="right" vertical="top"/>
      <protection locked="0"/>
    </xf>
    <xf numFmtId="183" fontId="0" fillId="7" borderId="0" xfId="0" applyNumberFormat="1" applyFill="1" applyAlignment="1" applyProtection="1">
      <alignment horizontal="right" vertical="top"/>
      <protection locked="0"/>
    </xf>
    <xf numFmtId="183" fontId="0" fillId="7" borderId="0" xfId="0" applyNumberFormat="1" applyFont="1" applyFill="1" applyBorder="1" applyAlignment="1" applyProtection="1">
      <alignment horizontal="right" vertical="top" wrapText="1"/>
      <protection locked="0"/>
    </xf>
    <xf numFmtId="183" fontId="4" fillId="7" borderId="0" xfId="0" applyNumberFormat="1" applyFont="1" applyFill="1" applyAlignment="1" applyProtection="1">
      <alignment horizontal="right" vertical="top"/>
      <protection locked="0"/>
    </xf>
    <xf numFmtId="183" fontId="0" fillId="7" borderId="0" xfId="0" applyNumberFormat="1" applyFill="1" applyAlignment="1" applyProtection="1">
      <alignment horizontal="right" vertical="top" wrapText="1"/>
      <protection locked="0"/>
    </xf>
    <xf numFmtId="183" fontId="4" fillId="0" borderId="29" xfId="0" applyNumberFormat="1" applyFont="1" applyFill="1" applyBorder="1" applyAlignment="1" applyProtection="1">
      <alignment horizontal="right" vertical="top"/>
      <protection locked="0"/>
    </xf>
    <xf numFmtId="183" fontId="0" fillId="7" borderId="29" xfId="0" applyNumberFormat="1" applyFill="1" applyBorder="1" applyAlignment="1" applyProtection="1">
      <alignment horizontal="right" vertical="top"/>
      <protection locked="0"/>
    </xf>
    <xf numFmtId="183" fontId="0" fillId="7" borderId="29" xfId="0" applyNumberFormat="1" applyFill="1" applyBorder="1" applyAlignment="1" applyProtection="1">
      <alignment horizontal="right" vertical="top" wrapText="1"/>
      <protection locked="0"/>
    </xf>
    <xf numFmtId="183" fontId="0" fillId="0" borderId="29" xfId="0" applyNumberFormat="1" applyFill="1" applyBorder="1" applyAlignment="1" applyProtection="1">
      <alignment horizontal="right" vertical="top"/>
      <protection locked="0"/>
    </xf>
    <xf numFmtId="183" fontId="4" fillId="7" borderId="24" xfId="0" applyNumberFormat="1" applyFont="1" applyFill="1" applyBorder="1" applyAlignment="1" applyProtection="1">
      <alignment horizontal="right" vertical="top"/>
      <protection locked="0"/>
    </xf>
    <xf numFmtId="183" fontId="0" fillId="7" borderId="24" xfId="0" applyNumberFormat="1" applyFill="1" applyBorder="1" applyAlignment="1" applyProtection="1">
      <alignment horizontal="right" vertical="top"/>
      <protection locked="0"/>
    </xf>
    <xf numFmtId="183" fontId="0" fillId="7" borderId="24" xfId="0" applyNumberFormat="1" applyFill="1" applyBorder="1" applyAlignment="1" applyProtection="1">
      <alignment horizontal="right" vertical="top" wrapText="1"/>
      <protection locked="0"/>
    </xf>
    <xf numFmtId="183" fontId="4" fillId="7" borderId="29" xfId="0" applyNumberFormat="1" applyFont="1" applyFill="1" applyBorder="1" applyAlignment="1" applyProtection="1">
      <alignment horizontal="right" vertical="top"/>
      <protection locked="0"/>
    </xf>
    <xf numFmtId="183" fontId="4" fillId="7" borderId="8" xfId="0" applyNumberFormat="1" applyFont="1" applyFill="1" applyBorder="1" applyAlignment="1" applyProtection="1">
      <alignment horizontal="right" vertical="top"/>
      <protection locked="0"/>
    </xf>
    <xf numFmtId="183" fontId="0" fillId="7" borderId="8" xfId="0" applyNumberFormat="1" applyFill="1" applyBorder="1" applyAlignment="1" applyProtection="1">
      <alignment horizontal="right" vertical="top"/>
      <protection locked="0"/>
    </xf>
    <xf numFmtId="183" fontId="0" fillId="7" borderId="8" xfId="0" applyNumberFormat="1" applyFill="1" applyBorder="1" applyAlignment="1" applyProtection="1">
      <alignment horizontal="right" vertical="top" wrapText="1"/>
      <protection locked="0"/>
    </xf>
    <xf numFmtId="183" fontId="0" fillId="0" borderId="0" xfId="0" applyNumberFormat="1" applyFill="1" applyAlignment="1" applyProtection="1">
      <alignment horizontal="right" vertical="top"/>
      <protection locked="0"/>
    </xf>
    <xf numFmtId="0" fontId="18" fillId="3" borderId="0" xfId="1" applyFont="1" applyFill="1" applyAlignment="1" applyProtection="1">
      <alignment horizontal="left" indent="3"/>
    </xf>
    <xf numFmtId="0" fontId="5" fillId="9" borderId="28" xfId="0" applyFont="1" applyFill="1" applyBorder="1" applyAlignment="1" applyProtection="1">
      <alignment horizontal="left" vertical="top" wrapText="1"/>
      <protection locked="0"/>
    </xf>
    <xf numFmtId="0" fontId="18" fillId="8" borderId="0" xfId="1" applyFont="1" applyFill="1" applyAlignment="1" applyProtection="1">
      <alignment horizontal="left" indent="4"/>
    </xf>
    <xf numFmtId="0" fontId="5" fillId="25" borderId="0" xfId="0" applyFont="1" applyFill="1" applyBorder="1"/>
    <xf numFmtId="1" fontId="0" fillId="25" borderId="0" xfId="0" applyNumberFormat="1" applyFill="1" applyBorder="1" applyAlignment="1" applyProtection="1">
      <alignment horizontal="right"/>
    </xf>
    <xf numFmtId="170" fontId="15" fillId="19" borderId="0" xfId="0" applyNumberFormat="1" applyFont="1" applyFill="1" applyBorder="1" applyProtection="1"/>
    <xf numFmtId="0" fontId="4" fillId="20" borderId="0" xfId="0" applyFont="1" applyFill="1" applyAlignment="1" applyProtection="1">
      <alignment horizontal="left" indent="1"/>
    </xf>
    <xf numFmtId="5" fontId="4" fillId="11" borderId="0" xfId="0" applyNumberFormat="1" applyFont="1" applyFill="1" applyAlignment="1" applyProtection="1"/>
    <xf numFmtId="5" fontId="4" fillId="11" borderId="0" xfId="0" applyNumberFormat="1" applyFont="1" applyFill="1"/>
    <xf numFmtId="0" fontId="4" fillId="11" borderId="0" xfId="0" applyFont="1" applyFill="1" applyAlignment="1" applyProtection="1">
      <alignment horizontal="left" indent="1"/>
    </xf>
    <xf numFmtId="1" fontId="4" fillId="11" borderId="0" xfId="0" applyNumberFormat="1" applyFont="1" applyFill="1"/>
    <xf numFmtId="0" fontId="4" fillId="11" borderId="0" xfId="0" applyFont="1" applyFill="1" applyAlignment="1" applyProtection="1">
      <alignment horizontal="left" indent="2"/>
    </xf>
    <xf numFmtId="9" fontId="4" fillId="11" borderId="0" xfId="2" applyFont="1" applyFill="1" applyAlignment="1" applyProtection="1"/>
    <xf numFmtId="0" fontId="0" fillId="0" borderId="0" xfId="0" applyFill="1" applyAlignment="1" applyProtection="1"/>
    <xf numFmtId="1" fontId="0" fillId="0" borderId="4" xfId="2" applyNumberFormat="1" applyFont="1" applyFill="1" applyBorder="1" applyProtection="1"/>
    <xf numFmtId="0" fontId="0" fillId="0" borderId="0" xfId="0" applyAlignment="1">
      <alignment wrapText="1"/>
    </xf>
    <xf numFmtId="0" fontId="27" fillId="25" borderId="0" xfId="0" applyFont="1" applyFill="1" applyAlignment="1">
      <alignment horizontal="left"/>
    </xf>
    <xf numFmtId="0" fontId="4" fillId="11" borderId="0" xfId="0" applyFont="1" applyFill="1" applyAlignment="1" applyProtection="1">
      <alignment horizontal="left" indent="3"/>
    </xf>
    <xf numFmtId="188" fontId="0" fillId="0" borderId="29" xfId="0" applyNumberFormat="1" applyFill="1" applyBorder="1" applyAlignment="1" applyProtection="1">
      <alignment horizontal="right" vertical="top"/>
      <protection locked="0"/>
    </xf>
    <xf numFmtId="0" fontId="7" fillId="25" borderId="0" xfId="0" applyFont="1" applyFill="1" applyBorder="1" applyAlignment="1">
      <alignment vertical="top"/>
    </xf>
    <xf numFmtId="0" fontId="4" fillId="25" borderId="0" xfId="0" applyFont="1" applyFill="1" applyBorder="1" applyAlignment="1">
      <alignment vertical="top"/>
    </xf>
    <xf numFmtId="1" fontId="4" fillId="25" borderId="0" xfId="0" applyNumberFormat="1" applyFont="1" applyFill="1" applyAlignment="1">
      <alignment vertical="top"/>
    </xf>
    <xf numFmtId="0" fontId="0" fillId="25" borderId="4" xfId="0" applyFill="1" applyBorder="1" applyAlignment="1" applyProtection="1">
      <alignment wrapText="1"/>
    </xf>
    <xf numFmtId="1" fontId="0" fillId="25" borderId="0" xfId="0" applyNumberFormat="1" applyFill="1" applyAlignment="1" applyProtection="1">
      <alignment vertical="top"/>
    </xf>
    <xf numFmtId="0" fontId="4" fillId="25" borderId="0" xfId="0" applyFont="1" applyFill="1" applyBorder="1" applyAlignment="1">
      <alignment horizontal="right" vertical="top" wrapText="1"/>
    </xf>
    <xf numFmtId="0" fontId="5" fillId="25" borderId="9" xfId="0" applyFont="1" applyFill="1" applyBorder="1" applyAlignment="1">
      <alignment vertical="top" wrapText="1"/>
    </xf>
    <xf numFmtId="0" fontId="5" fillId="25" borderId="16" xfId="0" applyFont="1" applyFill="1" applyBorder="1" applyAlignment="1">
      <alignment horizontal="left" vertical="top" wrapText="1"/>
    </xf>
    <xf numFmtId="0" fontId="5" fillId="25" borderId="13" xfId="0" applyFont="1" applyFill="1" applyBorder="1" applyAlignment="1">
      <alignment horizontal="left" vertical="top" wrapText="1"/>
    </xf>
    <xf numFmtId="1" fontId="5" fillId="25" borderId="9" xfId="0" applyNumberFormat="1" applyFont="1" applyFill="1" applyBorder="1" applyAlignment="1">
      <alignment horizontal="right" vertical="top" wrapText="1"/>
    </xf>
    <xf numFmtId="183" fontId="0" fillId="0" borderId="9" xfId="0" applyNumberFormat="1" applyFill="1" applyBorder="1" applyAlignment="1" applyProtection="1">
      <alignment horizontal="right" vertical="top"/>
      <protection locked="0"/>
    </xf>
    <xf numFmtId="183" fontId="0" fillId="0" borderId="15" xfId="0" applyNumberFormat="1" applyFill="1" applyBorder="1" applyAlignment="1" applyProtection="1">
      <alignment horizontal="right" vertical="top"/>
      <protection locked="0"/>
    </xf>
    <xf numFmtId="0" fontId="5" fillId="25" borderId="5" xfId="0" applyFont="1" applyFill="1" applyBorder="1" applyAlignment="1">
      <alignment vertical="top" wrapText="1"/>
    </xf>
    <xf numFmtId="2" fontId="5" fillId="25" borderId="5" xfId="0" applyNumberFormat="1" applyFont="1" applyFill="1" applyBorder="1" applyAlignment="1">
      <alignment horizontal="right" vertical="top"/>
    </xf>
    <xf numFmtId="0" fontId="4" fillId="0" borderId="10" xfId="0" applyFont="1" applyFill="1" applyBorder="1" applyAlignment="1" applyProtection="1">
      <alignment vertical="top" wrapText="1"/>
    </xf>
    <xf numFmtId="0" fontId="4" fillId="0" borderId="7" xfId="0" applyFont="1" applyFill="1" applyBorder="1" applyAlignment="1" applyProtection="1">
      <alignment horizontal="right" vertical="top" wrapText="1"/>
    </xf>
    <xf numFmtId="185" fontId="4" fillId="11" borderId="0" xfId="2" applyNumberFormat="1" applyFont="1" applyFill="1"/>
    <xf numFmtId="189" fontId="4" fillId="11" borderId="8" xfId="0" applyNumberFormat="1" applyFont="1" applyFill="1" applyBorder="1" applyAlignment="1">
      <alignment horizontal="right" vertical="top"/>
    </xf>
    <xf numFmtId="189" fontId="4" fillId="11" borderId="22" xfId="0" applyNumberFormat="1" applyFont="1" applyFill="1" applyBorder="1" applyAlignment="1">
      <alignment horizontal="right" vertical="top"/>
    </xf>
    <xf numFmtId="189" fontId="4" fillId="11" borderId="1" xfId="0" applyNumberFormat="1" applyFont="1" applyFill="1" applyBorder="1" applyAlignment="1">
      <alignment horizontal="right" vertical="top"/>
    </xf>
    <xf numFmtId="189" fontId="4" fillId="11" borderId="11" xfId="0" applyNumberFormat="1" applyFont="1" applyFill="1" applyBorder="1" applyAlignment="1">
      <alignment horizontal="right" vertical="top"/>
    </xf>
    <xf numFmtId="189" fontId="4" fillId="11" borderId="3" xfId="0" applyNumberFormat="1" applyFont="1" applyFill="1" applyBorder="1" applyAlignment="1">
      <alignment horizontal="right" vertical="top"/>
    </xf>
    <xf numFmtId="169" fontId="4" fillId="11" borderId="0" xfId="3" applyNumberFormat="1" applyFont="1" applyFill="1" applyAlignment="1">
      <alignment wrapText="1"/>
    </xf>
    <xf numFmtId="0" fontId="5" fillId="11" borderId="9" xfId="0" applyFont="1" applyFill="1" applyBorder="1" applyAlignment="1">
      <alignment wrapText="1"/>
    </xf>
    <xf numFmtId="167" fontId="4" fillId="11" borderId="16" xfId="0" applyNumberFormat="1" applyFont="1" applyFill="1" applyBorder="1" applyAlignment="1">
      <alignment horizontal="right" vertical="top"/>
    </xf>
    <xf numFmtId="167" fontId="4" fillId="11" borderId="13" xfId="0" applyNumberFormat="1" applyFont="1" applyFill="1" applyBorder="1" applyAlignment="1">
      <alignment horizontal="right" vertical="top"/>
    </xf>
    <xf numFmtId="189" fontId="4" fillId="11" borderId="55" xfId="0" applyNumberFormat="1" applyFont="1" applyFill="1" applyBorder="1" applyAlignment="1">
      <alignment horizontal="right" vertical="top"/>
    </xf>
    <xf numFmtId="189" fontId="4" fillId="11" borderId="56" xfId="0" applyNumberFormat="1" applyFont="1" applyFill="1" applyBorder="1" applyAlignment="1">
      <alignment horizontal="right" vertical="top"/>
    </xf>
    <xf numFmtId="189" fontId="4" fillId="11" borderId="46" xfId="0" applyNumberFormat="1" applyFont="1" applyFill="1" applyBorder="1" applyAlignment="1">
      <alignment horizontal="right" vertical="top"/>
    </xf>
    <xf numFmtId="0" fontId="4" fillId="11" borderId="0" xfId="0" applyFont="1" applyFill="1" applyAlignment="1">
      <alignment horizontal="left" indent="2"/>
    </xf>
    <xf numFmtId="0" fontId="4" fillId="11" borderId="4" xfId="0" applyFont="1" applyFill="1" applyBorder="1" applyAlignment="1">
      <alignment horizontal="center"/>
    </xf>
    <xf numFmtId="0" fontId="4" fillId="11" borderId="0" xfId="0" applyFont="1" applyFill="1" applyAlignment="1">
      <alignment horizontal="center"/>
    </xf>
    <xf numFmtId="0" fontId="4" fillId="0" borderId="37" xfId="0" applyNumberFormat="1" applyFont="1" applyFill="1" applyBorder="1" applyAlignment="1" applyProtection="1">
      <alignment horizontal="left" vertical="top" wrapText="1"/>
      <protection locked="0"/>
    </xf>
    <xf numFmtId="164" fontId="4" fillId="23" borderId="37" xfId="0" applyNumberFormat="1" applyFont="1" applyFill="1" applyBorder="1" applyAlignment="1" applyProtection="1">
      <alignment horizontal="right" vertical="top" wrapText="1"/>
      <protection locked="0"/>
    </xf>
    <xf numFmtId="164" fontId="4" fillId="0" borderId="37" xfId="0" applyNumberFormat="1" applyFont="1" applyFill="1" applyBorder="1" applyAlignment="1" applyProtection="1">
      <alignment horizontal="right" vertical="top" wrapText="1"/>
      <protection locked="0"/>
    </xf>
    <xf numFmtId="0" fontId="3" fillId="7" borderId="10" xfId="0" applyFont="1" applyFill="1" applyBorder="1" applyAlignment="1" applyProtection="1">
      <alignment horizontal="center" wrapText="1"/>
    </xf>
    <xf numFmtId="0" fontId="3" fillId="7" borderId="10" xfId="0" applyNumberFormat="1" applyFont="1" applyFill="1" applyBorder="1" applyAlignment="1" applyProtection="1">
      <alignment horizontal="center" vertical="top" wrapText="1"/>
    </xf>
    <xf numFmtId="0" fontId="3" fillId="7" borderId="5" xfId="0" applyNumberFormat="1" applyFont="1" applyFill="1" applyBorder="1" applyAlignment="1" applyProtection="1">
      <alignment horizontal="left" vertical="top"/>
    </xf>
    <xf numFmtId="0" fontId="3" fillId="7" borderId="5" xfId="0" applyNumberFormat="1" applyFont="1" applyFill="1" applyBorder="1" applyAlignment="1" applyProtection="1">
      <alignment horizontal="center" vertical="top" wrapText="1"/>
    </xf>
    <xf numFmtId="0" fontId="3" fillId="7" borderId="0" xfId="0" applyNumberFormat="1" applyFont="1" applyFill="1" applyProtection="1"/>
    <xf numFmtId="0" fontId="7" fillId="11" borderId="0" xfId="0" applyFont="1" applyFill="1"/>
    <xf numFmtId="0" fontId="13" fillId="11" borderId="0" xfId="0" applyFont="1" applyFill="1"/>
    <xf numFmtId="0" fontId="4" fillId="11" borderId="0" xfId="0" applyFont="1" applyFill="1" applyAlignment="1">
      <alignment horizontal="left"/>
    </xf>
    <xf numFmtId="0" fontId="4" fillId="11" borderId="10" xfId="0" applyFont="1" applyFill="1" applyBorder="1" applyAlignment="1">
      <alignment horizontal="right" wrapText="1"/>
    </xf>
    <xf numFmtId="0" fontId="4" fillId="11" borderId="6" xfId="0" applyFont="1" applyFill="1" applyBorder="1" applyAlignment="1">
      <alignment horizontal="right" wrapText="1"/>
    </xf>
    <xf numFmtId="0" fontId="4" fillId="11" borderId="5" xfId="0" applyFont="1" applyFill="1" applyBorder="1" applyAlignment="1">
      <alignment horizontal="right" wrapText="1"/>
    </xf>
    <xf numFmtId="0" fontId="5" fillId="11" borderId="13" xfId="0" applyFont="1" applyFill="1" applyBorder="1"/>
    <xf numFmtId="0" fontId="4" fillId="11" borderId="4" xfId="0" applyFont="1" applyFill="1" applyBorder="1"/>
    <xf numFmtId="181" fontId="4" fillId="11" borderId="13" xfId="0" applyNumberFormat="1" applyFont="1" applyFill="1" applyBorder="1"/>
    <xf numFmtId="0" fontId="4" fillId="11" borderId="16" xfId="0" applyFont="1" applyFill="1" applyBorder="1"/>
    <xf numFmtId="177" fontId="4" fillId="11" borderId="4" xfId="0" applyNumberFormat="1" applyFont="1" applyFill="1" applyBorder="1"/>
    <xf numFmtId="181" fontId="4" fillId="11" borderId="2" xfId="0" applyNumberFormat="1" applyFont="1" applyFill="1" applyBorder="1"/>
    <xf numFmtId="179" fontId="4" fillId="11" borderId="0" xfId="0" applyNumberFormat="1" applyFont="1" applyFill="1" applyBorder="1"/>
    <xf numFmtId="0" fontId="11" fillId="11" borderId="0" xfId="0" applyFont="1" applyFill="1" applyAlignment="1">
      <alignment horizontal="left" indent="1"/>
    </xf>
    <xf numFmtId="177" fontId="5" fillId="11" borderId="4" xfId="0" applyNumberFormat="1" applyFont="1" applyFill="1" applyBorder="1"/>
    <xf numFmtId="181" fontId="5" fillId="11" borderId="2" xfId="0" applyNumberFormat="1" applyFont="1" applyFill="1" applyBorder="1"/>
    <xf numFmtId="177" fontId="5" fillId="11" borderId="10" xfId="0" applyNumberFormat="1" applyFont="1" applyFill="1" applyBorder="1"/>
    <xf numFmtId="179" fontId="5" fillId="11" borderId="0" xfId="0" applyNumberFormat="1" applyFont="1" applyFill="1" applyBorder="1"/>
    <xf numFmtId="0" fontId="5" fillId="11" borderId="9" xfId="0" applyFont="1" applyFill="1" applyBorder="1"/>
    <xf numFmtId="177" fontId="4" fillId="11" borderId="16" xfId="0" applyNumberFormat="1" applyFont="1" applyFill="1" applyBorder="1"/>
    <xf numFmtId="0" fontId="4" fillId="11" borderId="9" xfId="0" applyFont="1" applyFill="1" applyBorder="1"/>
    <xf numFmtId="0" fontId="4" fillId="11" borderId="0" xfId="0" applyFont="1" applyFill="1" applyBorder="1" applyAlignment="1">
      <alignment horizontal="left" indent="1"/>
    </xf>
    <xf numFmtId="0" fontId="5" fillId="11" borderId="8" xfId="0" applyFont="1" applyFill="1" applyBorder="1" applyAlignment="1">
      <alignment horizontal="left"/>
    </xf>
    <xf numFmtId="177" fontId="4" fillId="11" borderId="11" xfId="0" applyNumberFormat="1" applyFont="1" applyFill="1" applyBorder="1"/>
    <xf numFmtId="181" fontId="4" fillId="11" borderId="12" xfId="0" applyNumberFormat="1" applyFont="1" applyFill="1" applyBorder="1"/>
    <xf numFmtId="0" fontId="4" fillId="11" borderId="11" xfId="0" applyNumberFormat="1" applyFont="1" applyFill="1" applyBorder="1" applyAlignment="1">
      <alignment horizontal="center"/>
    </xf>
    <xf numFmtId="0" fontId="4" fillId="11" borderId="8" xfId="0" applyNumberFormat="1" applyFont="1" applyFill="1" applyBorder="1" applyAlignment="1">
      <alignment horizontal="center"/>
    </xf>
    <xf numFmtId="0" fontId="5" fillId="11" borderId="0" xfId="0" applyFont="1" applyFill="1" applyAlignment="1">
      <alignment horizontal="left"/>
    </xf>
    <xf numFmtId="177" fontId="5" fillId="11" borderId="16" xfId="0" applyNumberFormat="1" applyFont="1" applyFill="1" applyBorder="1"/>
    <xf numFmtId="0" fontId="4" fillId="11" borderId="0" xfId="0" applyFont="1" applyFill="1" applyBorder="1"/>
    <xf numFmtId="177" fontId="4" fillId="11" borderId="0" xfId="0" applyNumberFormat="1" applyFont="1" applyFill="1" applyBorder="1"/>
    <xf numFmtId="0" fontId="5" fillId="11" borderId="4" xfId="0" applyFont="1" applyFill="1" applyBorder="1"/>
    <xf numFmtId="0" fontId="4" fillId="11" borderId="2" xfId="0" applyFont="1" applyFill="1" applyBorder="1"/>
    <xf numFmtId="0" fontId="5" fillId="11" borderId="4" xfId="0" applyFont="1" applyFill="1" applyBorder="1" applyAlignment="1">
      <alignment horizontal="center" wrapText="1"/>
    </xf>
    <xf numFmtId="0" fontId="5" fillId="11" borderId="0" xfId="0" applyFont="1" applyFill="1" applyBorder="1" applyAlignment="1">
      <alignment horizontal="center" wrapText="1"/>
    </xf>
    <xf numFmtId="0" fontId="5" fillId="11" borderId="0" xfId="0" applyFont="1" applyFill="1" applyBorder="1" applyAlignment="1">
      <alignment wrapText="1"/>
    </xf>
    <xf numFmtId="0" fontId="4" fillId="11" borderId="5" xfId="0" applyFont="1" applyFill="1" applyBorder="1"/>
    <xf numFmtId="0" fontId="4" fillId="11" borderId="10" xfId="0" applyFont="1" applyFill="1" applyBorder="1" applyAlignment="1">
      <alignment horizontal="center" wrapText="1"/>
    </xf>
    <xf numFmtId="0" fontId="4" fillId="11" borderId="5" xfId="0" applyFont="1" applyFill="1" applyBorder="1" applyAlignment="1">
      <alignment horizontal="center" wrapText="1"/>
    </xf>
    <xf numFmtId="0" fontId="4" fillId="11" borderId="5" xfId="0" applyFont="1" applyFill="1" applyBorder="1" applyAlignment="1">
      <alignment horizontal="center"/>
    </xf>
    <xf numFmtId="0" fontId="4" fillId="11" borderId="6" xfId="0" applyFont="1" applyFill="1" applyBorder="1" applyAlignment="1">
      <alignment horizontal="center"/>
    </xf>
    <xf numFmtId="0" fontId="4" fillId="11" borderId="9" xfId="0" applyFont="1" applyFill="1" applyBorder="1" applyAlignment="1">
      <alignment horizontal="left"/>
    </xf>
    <xf numFmtId="175" fontId="4" fillId="11" borderId="16" xfId="0" applyNumberFormat="1" applyFont="1" applyFill="1" applyBorder="1"/>
    <xf numFmtId="175" fontId="4" fillId="11" borderId="9" xfId="0" applyNumberFormat="1" applyFont="1" applyFill="1" applyBorder="1"/>
    <xf numFmtId="0" fontId="4" fillId="11" borderId="13" xfId="0" applyFont="1" applyFill="1" applyBorder="1" applyAlignment="1">
      <alignment horizontal="right" wrapText="1"/>
    </xf>
    <xf numFmtId="176" fontId="4" fillId="11" borderId="16" xfId="0" applyNumberFormat="1" applyFont="1" applyFill="1" applyBorder="1"/>
    <xf numFmtId="176" fontId="4" fillId="11" borderId="9" xfId="0" applyNumberFormat="1" applyFont="1" applyFill="1" applyBorder="1"/>
    <xf numFmtId="2" fontId="4" fillId="11" borderId="9" xfId="0" applyNumberFormat="1" applyFont="1" applyFill="1" applyBorder="1"/>
    <xf numFmtId="175" fontId="4" fillId="11" borderId="4" xfId="0" applyNumberFormat="1" applyFont="1" applyFill="1" applyBorder="1"/>
    <xf numFmtId="175" fontId="4" fillId="11" borderId="0" xfId="0" applyNumberFormat="1" applyFont="1" applyFill="1" applyBorder="1"/>
    <xf numFmtId="0" fontId="4" fillId="11" borderId="2" xfId="0" applyFont="1" applyFill="1" applyBorder="1" applyAlignment="1">
      <alignment horizontal="right" wrapText="1"/>
    </xf>
    <xf numFmtId="175" fontId="4" fillId="11" borderId="0" xfId="0" applyNumberFormat="1" applyFont="1" applyFill="1"/>
    <xf numFmtId="176" fontId="4" fillId="11" borderId="4" xfId="0" applyNumberFormat="1" applyFont="1" applyFill="1" applyBorder="1"/>
    <xf numFmtId="176" fontId="4" fillId="11" borderId="0" xfId="0" applyNumberFormat="1" applyFont="1" applyFill="1" applyBorder="1"/>
    <xf numFmtId="2" fontId="4" fillId="11" borderId="0" xfId="0" applyNumberFormat="1" applyFont="1" applyFill="1" applyBorder="1"/>
    <xf numFmtId="3" fontId="4" fillId="11" borderId="0" xfId="0" applyNumberFormat="1" applyFont="1" applyFill="1" applyBorder="1"/>
    <xf numFmtId="164" fontId="4" fillId="11" borderId="0" xfId="0" applyNumberFormat="1" applyFont="1" applyFill="1" applyBorder="1"/>
    <xf numFmtId="0" fontId="4" fillId="11" borderId="0" xfId="0" applyFont="1" applyFill="1" applyBorder="1" applyAlignment="1">
      <alignment horizontal="left"/>
    </xf>
    <xf numFmtId="2" fontId="4" fillId="11" borderId="0" xfId="0" applyNumberFormat="1" applyFont="1" applyFill="1"/>
    <xf numFmtId="164" fontId="4" fillId="11" borderId="0" xfId="0" applyNumberFormat="1" applyFont="1" applyFill="1"/>
    <xf numFmtId="178" fontId="4" fillId="11" borderId="0" xfId="0" applyNumberFormat="1" applyFont="1" applyFill="1" applyAlignment="1">
      <alignment horizontal="left"/>
    </xf>
    <xf numFmtId="190" fontId="4" fillId="11" borderId="0" xfId="0" applyNumberFormat="1" applyFont="1" applyFill="1"/>
    <xf numFmtId="0" fontId="58" fillId="11" borderId="0" xfId="0" applyFont="1" applyFill="1" applyBorder="1"/>
    <xf numFmtId="0" fontId="4" fillId="11" borderId="10" xfId="0" applyFont="1" applyFill="1" applyBorder="1" applyAlignment="1">
      <alignment horizontal="right"/>
    </xf>
    <xf numFmtId="180" fontId="4" fillId="11" borderId="0" xfId="0" applyNumberFormat="1" applyFont="1" applyFill="1" applyBorder="1"/>
    <xf numFmtId="175" fontId="4" fillId="11" borderId="2" xfId="0" applyNumberFormat="1" applyFont="1" applyFill="1" applyBorder="1"/>
    <xf numFmtId="180" fontId="4" fillId="11" borderId="0" xfId="0" applyNumberFormat="1" applyFont="1" applyFill="1"/>
    <xf numFmtId="0" fontId="13" fillId="11" borderId="4" xfId="0" applyFont="1" applyFill="1" applyBorder="1"/>
    <xf numFmtId="0" fontId="4" fillId="11" borderId="0" xfId="0" applyFont="1" applyFill="1" applyAlignment="1">
      <alignment horizontal="left" wrapText="1" indent="2"/>
    </xf>
    <xf numFmtId="0" fontId="11" fillId="11" borderId="8" xfId="0" applyFont="1" applyFill="1" applyBorder="1" applyAlignment="1">
      <alignment horizontal="left" wrapText="1" indent="1"/>
    </xf>
    <xf numFmtId="0" fontId="4" fillId="11" borderId="11" xfId="0" applyFont="1" applyFill="1" applyBorder="1"/>
    <xf numFmtId="180" fontId="11" fillId="11" borderId="8" xfId="0" applyNumberFormat="1" applyFont="1" applyFill="1" applyBorder="1"/>
    <xf numFmtId="179" fontId="11" fillId="11" borderId="12" xfId="0" applyNumberFormat="1" applyFont="1" applyFill="1" applyBorder="1"/>
    <xf numFmtId="0" fontId="11" fillId="11" borderId="8" xfId="0" applyFont="1" applyFill="1" applyBorder="1"/>
    <xf numFmtId="0" fontId="5" fillId="11" borderId="0" xfId="0" applyFont="1" applyFill="1" applyBorder="1" applyAlignment="1">
      <alignment horizontal="left" wrapText="1" indent="1"/>
    </xf>
    <xf numFmtId="180" fontId="11" fillId="11" borderId="0" xfId="0" applyNumberFormat="1" applyFont="1" applyFill="1" applyBorder="1"/>
    <xf numFmtId="2" fontId="11" fillId="11" borderId="2" xfId="0" applyNumberFormat="1" applyFont="1" applyFill="1" applyBorder="1"/>
    <xf numFmtId="0" fontId="11" fillId="11" borderId="0" xfId="0" applyFont="1" applyFill="1" applyBorder="1"/>
    <xf numFmtId="1" fontId="11" fillId="11" borderId="0" xfId="0" applyNumberFormat="1" applyFont="1" applyFill="1" applyBorder="1"/>
    <xf numFmtId="0" fontId="4" fillId="11" borderId="0" xfId="0" applyFont="1" applyFill="1" applyAlignment="1">
      <alignment horizontal="left" wrapText="1" indent="1"/>
    </xf>
    <xf numFmtId="0" fontId="11" fillId="11" borderId="8" xfId="0" applyFont="1" applyFill="1" applyBorder="1" applyAlignment="1">
      <alignment horizontal="left" indent="1"/>
    </xf>
    <xf numFmtId="179" fontId="11" fillId="11" borderId="8" xfId="0" applyNumberFormat="1" applyFont="1" applyFill="1" applyBorder="1"/>
    <xf numFmtId="0" fontId="5" fillId="11" borderId="8" xfId="0" applyFont="1" applyFill="1" applyBorder="1" applyAlignment="1">
      <alignment horizontal="left" wrapText="1" indent="1"/>
    </xf>
    <xf numFmtId="180" fontId="5" fillId="11" borderId="8" xfId="0" applyNumberFormat="1" applyFont="1" applyFill="1" applyBorder="1"/>
    <xf numFmtId="179" fontId="5" fillId="11" borderId="12" xfId="0" applyNumberFormat="1" applyFont="1" applyFill="1" applyBorder="1"/>
    <xf numFmtId="0" fontId="5" fillId="11" borderId="8" xfId="0" applyFont="1" applyFill="1" applyBorder="1"/>
    <xf numFmtId="179" fontId="5" fillId="11" borderId="8" xfId="0" applyNumberFormat="1" applyFont="1" applyFill="1" applyBorder="1"/>
    <xf numFmtId="177" fontId="4" fillId="11" borderId="0" xfId="0" applyNumberFormat="1" applyFont="1" applyFill="1"/>
    <xf numFmtId="177" fontId="11" fillId="11" borderId="8" xfId="0" applyNumberFormat="1" applyFont="1" applyFill="1" applyBorder="1"/>
    <xf numFmtId="177" fontId="11" fillId="11" borderId="0" xfId="0" applyNumberFormat="1" applyFont="1" applyFill="1" applyBorder="1"/>
    <xf numFmtId="179" fontId="11" fillId="11" borderId="2" xfId="0" applyNumberFormat="1" applyFont="1" applyFill="1" applyBorder="1"/>
    <xf numFmtId="179" fontId="11" fillId="11" borderId="0" xfId="0" applyNumberFormat="1" applyFont="1" applyFill="1" applyBorder="1"/>
    <xf numFmtId="0" fontId="11" fillId="11" borderId="11" xfId="0" applyFont="1" applyFill="1" applyBorder="1"/>
    <xf numFmtId="177" fontId="5" fillId="11" borderId="8" xfId="0" applyNumberFormat="1" applyFont="1" applyFill="1" applyBorder="1"/>
    <xf numFmtId="0" fontId="5" fillId="11" borderId="11" xfId="0" applyFont="1" applyFill="1" applyBorder="1"/>
    <xf numFmtId="0" fontId="5" fillId="11" borderId="0" xfId="0" applyFont="1" applyFill="1" applyBorder="1"/>
    <xf numFmtId="0" fontId="4" fillId="11" borderId="3" xfId="0" applyFont="1" applyFill="1" applyBorder="1"/>
    <xf numFmtId="0" fontId="4" fillId="11" borderId="7" xfId="0" applyFont="1" applyFill="1" applyBorder="1" applyAlignment="1">
      <alignment horizontal="right"/>
    </xf>
    <xf numFmtId="9" fontId="4" fillId="11" borderId="3" xfId="2" applyFont="1" applyFill="1" applyBorder="1"/>
    <xf numFmtId="182" fontId="4" fillId="11" borderId="0" xfId="0" applyNumberFormat="1" applyFont="1" applyFill="1"/>
    <xf numFmtId="0" fontId="4" fillId="11" borderId="0" xfId="0" applyFont="1" applyFill="1" applyAlignment="1">
      <alignment wrapText="1"/>
    </xf>
    <xf numFmtId="0" fontId="5" fillId="11" borderId="5" xfId="0" applyFont="1" applyFill="1" applyBorder="1"/>
    <xf numFmtId="0" fontId="4" fillId="11" borderId="5" xfId="0" applyFont="1" applyFill="1" applyBorder="1" applyAlignment="1">
      <alignment horizontal="right"/>
    </xf>
    <xf numFmtId="179" fontId="4" fillId="11" borderId="4" xfId="0" applyNumberFormat="1" applyFont="1" applyFill="1" applyBorder="1"/>
    <xf numFmtId="179" fontId="4" fillId="11" borderId="0" xfId="0" applyNumberFormat="1" applyFont="1" applyFill="1"/>
    <xf numFmtId="2" fontId="4" fillId="11" borderId="4" xfId="0" applyNumberFormat="1" applyFont="1" applyFill="1" applyBorder="1"/>
    <xf numFmtId="0" fontId="10" fillId="11" borderId="0" xfId="0" applyFont="1" applyFill="1" applyAlignment="1">
      <alignment horizontal="left"/>
    </xf>
    <xf numFmtId="0" fontId="4" fillId="11" borderId="4" xfId="0" applyFont="1" applyFill="1" applyBorder="1" applyAlignment="1">
      <alignment horizontal="left" indent="2"/>
    </xf>
    <xf numFmtId="0" fontId="4" fillId="11" borderId="6" xfId="0" applyFont="1" applyFill="1" applyBorder="1"/>
    <xf numFmtId="0" fontId="4" fillId="11" borderId="10" xfId="0" applyFont="1" applyFill="1" applyBorder="1" applyAlignment="1">
      <alignment horizontal="center"/>
    </xf>
    <xf numFmtId="179" fontId="4" fillId="11" borderId="4" xfId="0" applyNumberFormat="1" applyFont="1" applyFill="1" applyBorder="1" applyAlignment="1"/>
    <xf numFmtId="179" fontId="5" fillId="11" borderId="3" xfId="0" applyNumberFormat="1" applyFont="1" applyFill="1" applyBorder="1"/>
    <xf numFmtId="179" fontId="5" fillId="11" borderId="0" xfId="0" applyNumberFormat="1" applyFont="1" applyFill="1"/>
    <xf numFmtId="164" fontId="5" fillId="11" borderId="0" xfId="0" applyNumberFormat="1" applyFont="1" applyFill="1"/>
    <xf numFmtId="20" fontId="4" fillId="11" borderId="0" xfId="0" applyNumberFormat="1" applyFont="1" applyFill="1" applyAlignment="1">
      <alignment horizontal="left"/>
    </xf>
    <xf numFmtId="0" fontId="4" fillId="11" borderId="0" xfId="0" applyFont="1" applyFill="1" applyAlignment="1"/>
    <xf numFmtId="169" fontId="0" fillId="7" borderId="0" xfId="0" applyNumberFormat="1" applyFill="1" applyAlignment="1"/>
    <xf numFmtId="0" fontId="59" fillId="11" borderId="0" xfId="0" applyFont="1" applyFill="1"/>
    <xf numFmtId="0" fontId="4" fillId="24" borderId="0" xfId="0" quotePrefix="1" applyFont="1" applyFill="1" applyAlignment="1" applyProtection="1">
      <alignment horizontal="left"/>
    </xf>
    <xf numFmtId="49" fontId="4" fillId="23" borderId="0" xfId="0" applyNumberFormat="1" applyFont="1" applyFill="1" applyAlignment="1" applyProtection="1">
      <alignment horizontal="left"/>
    </xf>
    <xf numFmtId="4" fontId="4" fillId="11" borderId="0" xfId="0" applyNumberFormat="1" applyFont="1" applyFill="1"/>
    <xf numFmtId="0" fontId="60" fillId="15" borderId="13" xfId="1" applyFont="1" applyFill="1" applyBorder="1" applyAlignment="1">
      <alignment vertical="center" wrapText="1"/>
    </xf>
    <xf numFmtId="0" fontId="60" fillId="21" borderId="2" xfId="1" applyFont="1" applyFill="1" applyBorder="1" applyAlignment="1">
      <alignment vertical="center" wrapText="1"/>
    </xf>
    <xf numFmtId="0" fontId="60" fillId="20" borderId="2" xfId="1" applyFont="1" applyFill="1" applyBorder="1" applyAlignment="1">
      <alignment vertical="center" wrapText="1"/>
    </xf>
    <xf numFmtId="0" fontId="60" fillId="24" borderId="2" xfId="1" applyFont="1" applyFill="1" applyBorder="1" applyAlignment="1">
      <alignment vertical="center" wrapText="1"/>
    </xf>
    <xf numFmtId="0" fontId="60" fillId="23" borderId="2" xfId="1" applyFont="1" applyFill="1" applyBorder="1" applyAlignment="1">
      <alignment vertical="center" wrapText="1"/>
    </xf>
    <xf numFmtId="0" fontId="60" fillId="17" borderId="2" xfId="1" applyFont="1" applyFill="1" applyBorder="1" applyAlignment="1">
      <alignment vertical="center" wrapText="1"/>
    </xf>
    <xf numFmtId="0" fontId="23" fillId="28" borderId="0" xfId="0" applyFont="1" applyFill="1" applyAlignment="1" applyProtection="1">
      <alignment horizontal="left" indent="4"/>
    </xf>
    <xf numFmtId="0" fontId="18" fillId="28" borderId="0" xfId="0" applyFont="1" applyFill="1" applyAlignment="1" applyProtection="1">
      <alignment horizontal="left" indent="4"/>
    </xf>
    <xf numFmtId="0" fontId="23" fillId="27" borderId="0" xfId="0" applyFont="1" applyFill="1"/>
    <xf numFmtId="0" fontId="0" fillId="32" borderId="0" xfId="0" applyFill="1"/>
    <xf numFmtId="0" fontId="6" fillId="32" borderId="0" xfId="0" applyFont="1" applyFill="1"/>
    <xf numFmtId="0" fontId="3" fillId="32" borderId="0" xfId="0" applyFont="1" applyFill="1"/>
    <xf numFmtId="3" fontId="0" fillId="32" borderId="0" xfId="0" applyNumberFormat="1" applyFill="1"/>
    <xf numFmtId="0" fontId="18" fillId="32" borderId="0" xfId="1" applyFont="1" applyFill="1"/>
    <xf numFmtId="0" fontId="0" fillId="32" borderId="0" xfId="0" applyFill="1" applyAlignment="1">
      <alignment horizontal="right"/>
    </xf>
    <xf numFmtId="49" fontId="0" fillId="32" borderId="0" xfId="0" applyNumberFormat="1" applyFill="1"/>
    <xf numFmtId="0" fontId="0" fillId="32" borderId="0" xfId="0" quotePrefix="1" applyFont="1" applyFill="1" applyBorder="1" applyAlignment="1" applyProtection="1">
      <alignment horizontal="left"/>
    </xf>
    <xf numFmtId="0" fontId="0" fillId="32" borderId="0" xfId="0" applyFill="1" applyBorder="1"/>
    <xf numFmtId="0" fontId="0" fillId="32" borderId="0" xfId="0" applyFont="1" applyFill="1" applyBorder="1" applyAlignment="1" applyProtection="1">
      <alignment vertical="top" wrapText="1"/>
    </xf>
    <xf numFmtId="9" fontId="0" fillId="32" borderId="0" xfId="2" applyFont="1" applyFill="1" applyBorder="1" applyAlignment="1">
      <alignment vertical="top"/>
    </xf>
    <xf numFmtId="0" fontId="0" fillId="32" borderId="0" xfId="0" applyFill="1" applyBorder="1" applyAlignment="1">
      <alignment horizontal="left" vertical="top" indent="1"/>
    </xf>
    <xf numFmtId="0" fontId="0" fillId="32" borderId="0" xfId="0" applyFont="1" applyFill="1" applyBorder="1" applyAlignment="1" applyProtection="1">
      <alignment horizontal="left" indent="1"/>
    </xf>
    <xf numFmtId="0" fontId="0" fillId="32" borderId="0" xfId="0" applyFill="1" applyBorder="1" applyAlignment="1">
      <alignment horizontal="left" indent="1"/>
    </xf>
    <xf numFmtId="0" fontId="0" fillId="32" borderId="0" xfId="0" applyFont="1" applyFill="1" applyBorder="1" applyAlignment="1" applyProtection="1">
      <alignment horizontal="left"/>
    </xf>
    <xf numFmtId="165" fontId="0" fillId="32" borderId="0" xfId="0" applyNumberFormat="1" applyFill="1"/>
    <xf numFmtId="0" fontId="0" fillId="32" borderId="0" xfId="0" applyFill="1" applyAlignment="1">
      <alignment horizontal="left" indent="1"/>
    </xf>
    <xf numFmtId="0" fontId="0" fillId="32" borderId="0" xfId="0" applyFill="1" applyAlignment="1">
      <alignment horizontal="left" indent="2"/>
    </xf>
    <xf numFmtId="169" fontId="0" fillId="32" borderId="0" xfId="3" applyNumberFormat="1" applyFont="1" applyFill="1"/>
    <xf numFmtId="43" fontId="0" fillId="32" borderId="0" xfId="3" applyNumberFormat="1" applyFont="1" applyFill="1"/>
    <xf numFmtId="0" fontId="45" fillId="32" borderId="0" xfId="3" applyNumberFormat="1" applyFont="1" applyFill="1"/>
    <xf numFmtId="170" fontId="0" fillId="32" borderId="0" xfId="3" applyNumberFormat="1" applyFont="1" applyFill="1"/>
    <xf numFmtId="173" fontId="0" fillId="32" borderId="0" xfId="3" applyNumberFormat="1" applyFont="1" applyFill="1"/>
    <xf numFmtId="0" fontId="0" fillId="32" borderId="0" xfId="0" applyFont="1" applyFill="1"/>
    <xf numFmtId="0" fontId="0" fillId="32" borderId="0" xfId="0" applyFont="1" applyFill="1" applyAlignment="1">
      <alignment horizontal="left" indent="1"/>
    </xf>
    <xf numFmtId="170" fontId="12" fillId="32" borderId="0" xfId="3" applyNumberFormat="1" applyFont="1" applyFill="1"/>
    <xf numFmtId="0" fontId="0" fillId="32" borderId="0" xfId="0" applyFont="1" applyFill="1" applyAlignment="1">
      <alignment horizontal="left"/>
    </xf>
    <xf numFmtId="0" fontId="40" fillId="32" borderId="0" xfId="0" applyFont="1" applyFill="1" applyAlignment="1">
      <alignment horizontal="left" indent="1"/>
    </xf>
    <xf numFmtId="0" fontId="40" fillId="32" borderId="0" xfId="0" quotePrefix="1" applyFont="1" applyFill="1" applyAlignment="1">
      <alignment horizontal="left" indent="1"/>
    </xf>
    <xf numFmtId="0" fontId="40" fillId="32" borderId="0" xfId="0" quotePrefix="1" applyFont="1" applyFill="1" applyAlignment="1">
      <alignment horizontal="left" indent="2"/>
    </xf>
    <xf numFmtId="170" fontId="3" fillId="32" borderId="0" xfId="3" applyNumberFormat="1" applyFont="1" applyFill="1"/>
    <xf numFmtId="187" fontId="0" fillId="32" borderId="0" xfId="3" applyNumberFormat="1" applyFont="1" applyFill="1"/>
    <xf numFmtId="184" fontId="12" fillId="32" borderId="0" xfId="3" applyNumberFormat="1" applyFont="1" applyFill="1"/>
    <xf numFmtId="0" fontId="3" fillId="32" borderId="0" xfId="0" applyFont="1" applyFill="1" applyAlignment="1">
      <alignment horizontal="left" indent="1"/>
    </xf>
    <xf numFmtId="169" fontId="3" fillId="32" borderId="0" xfId="3" applyNumberFormat="1" applyFont="1" applyFill="1"/>
    <xf numFmtId="0" fontId="0" fillId="32" borderId="0" xfId="0" quotePrefix="1" applyFont="1" applyFill="1" applyAlignment="1">
      <alignment horizontal="left" indent="1"/>
    </xf>
    <xf numFmtId="0" fontId="0" fillId="32" borderId="0" xfId="0" quotePrefix="1" applyFont="1" applyFill="1" applyAlignment="1">
      <alignment horizontal="left"/>
    </xf>
    <xf numFmtId="0" fontId="0" fillId="32" borderId="0" xfId="0" applyFont="1" applyFill="1" applyAlignment="1"/>
    <xf numFmtId="0" fontId="37" fillId="32" borderId="0" xfId="0" applyFont="1" applyFill="1"/>
    <xf numFmtId="9" fontId="0" fillId="32" borderId="0" xfId="2" applyFont="1" applyFill="1"/>
    <xf numFmtId="9" fontId="0" fillId="32" borderId="0" xfId="2" applyFont="1" applyFill="1" applyBorder="1" applyAlignment="1">
      <alignment horizontal="right"/>
    </xf>
    <xf numFmtId="0" fontId="34" fillId="31" borderId="0" xfId="0" applyFont="1" applyFill="1" applyAlignment="1" applyProtection="1">
      <alignment horizontal="left"/>
    </xf>
    <xf numFmtId="0" fontId="8" fillId="32" borderId="0" xfId="1" applyFill="1"/>
    <xf numFmtId="43" fontId="0" fillId="32" borderId="0" xfId="0" applyNumberFormat="1" applyFill="1"/>
    <xf numFmtId="171" fontId="0" fillId="32" borderId="0" xfId="0" applyNumberFormat="1" applyFill="1"/>
    <xf numFmtId="0" fontId="27" fillId="32" borderId="0" xfId="0" applyFont="1" applyFill="1" applyAlignment="1">
      <alignment horizontal="left" indent="1"/>
    </xf>
    <xf numFmtId="186" fontId="0" fillId="32" borderId="0" xfId="3" applyNumberFormat="1" applyFont="1" applyFill="1"/>
    <xf numFmtId="174" fontId="0" fillId="32" borderId="0" xfId="3" applyNumberFormat="1" applyFont="1" applyFill="1"/>
    <xf numFmtId="0" fontId="0" fillId="32" borderId="0" xfId="0" applyNumberFormat="1" applyFill="1"/>
    <xf numFmtId="0" fontId="3" fillId="32" borderId="0" xfId="0" applyFont="1" applyFill="1" applyAlignment="1">
      <alignment horizontal="left"/>
    </xf>
    <xf numFmtId="0" fontId="0" fillId="31" borderId="0" xfId="0" applyFill="1"/>
    <xf numFmtId="0" fontId="40" fillId="32" borderId="0" xfId="0" applyFont="1" applyFill="1" applyAlignment="1">
      <alignment horizontal="left" indent="2"/>
    </xf>
    <xf numFmtId="184" fontId="0" fillId="32" borderId="0" xfId="3" applyNumberFormat="1" applyFont="1" applyFill="1"/>
    <xf numFmtId="0" fontId="18" fillId="32" borderId="0" xfId="1" applyFont="1" applyFill="1" applyAlignment="1">
      <alignment horizontal="left" indent="4"/>
    </xf>
    <xf numFmtId="0" fontId="0" fillId="33" borderId="0" xfId="0" applyFill="1"/>
    <xf numFmtId="169" fontId="0" fillId="33" borderId="0" xfId="3" applyNumberFormat="1" applyFont="1" applyFill="1"/>
    <xf numFmtId="0" fontId="19" fillId="0" borderId="0" xfId="1" applyFont="1" applyAlignment="1"/>
    <xf numFmtId="0" fontId="29" fillId="0" borderId="0" xfId="1" applyFont="1" applyBorder="1" applyAlignment="1"/>
    <xf numFmtId="0" fontId="27" fillId="28" borderId="0" xfId="0" applyFont="1" applyFill="1" applyBorder="1" applyAlignment="1" applyProtection="1">
      <alignment horizontal="left" vertical="top"/>
    </xf>
    <xf numFmtId="0" fontId="18" fillId="0" borderId="0" xfId="1" applyFont="1" applyAlignment="1">
      <alignment horizontal="left" vertical="center"/>
    </xf>
    <xf numFmtId="0" fontId="34" fillId="27" borderId="0" xfId="1" applyFont="1" applyFill="1" applyAlignment="1" applyProtection="1">
      <alignment horizontal="left" indent="1"/>
    </xf>
    <xf numFmtId="0" fontId="60" fillId="8" borderId="6" xfId="1" applyFont="1" applyFill="1" applyBorder="1" applyAlignment="1">
      <alignment vertical="center" wrapText="1"/>
    </xf>
    <xf numFmtId="0" fontId="60" fillId="16" borderId="2" xfId="1" applyFont="1" applyFill="1" applyBorder="1" applyAlignment="1">
      <alignment vertical="center" wrapText="1"/>
    </xf>
    <xf numFmtId="0" fontId="60" fillId="31" borderId="2" xfId="1" applyFont="1" applyFill="1" applyBorder="1" applyAlignment="1">
      <alignment vertical="center" wrapText="1"/>
    </xf>
    <xf numFmtId="0" fontId="60" fillId="27" borderId="2" xfId="1" applyFont="1" applyFill="1" applyBorder="1" applyAlignment="1">
      <alignment vertical="center" wrapText="1"/>
    </xf>
    <xf numFmtId="0" fontId="60" fillId="18" borderId="2" xfId="1" applyFont="1" applyFill="1" applyBorder="1" applyAlignment="1">
      <alignment vertical="center" wrapText="1"/>
    </xf>
    <xf numFmtId="0" fontId="5" fillId="0" borderId="8" xfId="0" applyFont="1" applyFill="1" applyBorder="1" applyAlignment="1">
      <alignment vertical="center" wrapText="1"/>
    </xf>
    <xf numFmtId="0" fontId="3" fillId="0" borderId="8" xfId="0" applyFont="1" applyFill="1" applyBorder="1" applyAlignment="1">
      <alignment vertical="center" wrapText="1"/>
    </xf>
    <xf numFmtId="0" fontId="23" fillId="0" borderId="0" xfId="1" applyFont="1" applyBorder="1" applyAlignment="1">
      <alignment horizontal="left" indent="4"/>
    </xf>
    <xf numFmtId="0" fontId="0" fillId="0" borderId="0" xfId="0" applyAlignment="1">
      <alignment horizontal="left" indent="4"/>
    </xf>
    <xf numFmtId="0" fontId="19" fillId="8" borderId="0" xfId="1" applyFont="1" applyFill="1" applyAlignment="1">
      <alignment horizontal="left" vertical="top" wrapText="1" indent="1"/>
    </xf>
    <xf numFmtId="0" fontId="19" fillId="0" borderId="0" xfId="1" applyFont="1" applyAlignment="1">
      <alignment horizontal="left" vertical="top" wrapText="1" indent="1"/>
    </xf>
    <xf numFmtId="0" fontId="21" fillId="8" borderId="0" xfId="1" applyFont="1" applyFill="1" applyAlignment="1">
      <alignment horizontal="left" vertical="top" indent="1"/>
    </xf>
    <xf numFmtId="0" fontId="21" fillId="0" borderId="0" xfId="1" applyFont="1" applyAlignment="1">
      <alignment horizontal="left" vertical="top" indent="1"/>
    </xf>
    <xf numFmtId="0" fontId="19" fillId="9" borderId="0" xfId="1" applyFont="1" applyFill="1" applyAlignment="1" applyProtection="1">
      <alignment horizontal="left"/>
    </xf>
    <xf numFmtId="0" fontId="0" fillId="0" borderId="0" xfId="0" applyAlignment="1"/>
    <xf numFmtId="0" fontId="4" fillId="0" borderId="0" xfId="0" applyFont="1" applyFill="1" applyAlignment="1" applyProtection="1">
      <alignment horizontal="right"/>
    </xf>
    <xf numFmtId="0" fontId="5" fillId="24" borderId="4" xfId="0" applyFont="1" applyFill="1" applyBorder="1" applyAlignment="1" applyProtection="1">
      <alignment horizontal="center" wrapText="1"/>
    </xf>
    <xf numFmtId="0" fontId="3" fillId="0" borderId="2" xfId="0" applyFont="1" applyBorder="1" applyAlignment="1">
      <alignment horizontal="center" wrapText="1"/>
    </xf>
    <xf numFmtId="0" fontId="5" fillId="23" borderId="4" xfId="0" quotePrefix="1" applyFont="1" applyFill="1" applyBorder="1" applyAlignment="1" applyProtection="1">
      <alignment horizontal="left" indent="1"/>
    </xf>
    <xf numFmtId="0" fontId="5" fillId="23" borderId="0" xfId="0" quotePrefix="1" applyFont="1" applyFill="1" applyBorder="1" applyAlignment="1" applyProtection="1">
      <alignment horizontal="left" indent="1"/>
    </xf>
    <xf numFmtId="0" fontId="0" fillId="7" borderId="0" xfId="0" applyFill="1" applyBorder="1" applyAlignment="1" applyProtection="1">
      <alignment horizontal="center"/>
    </xf>
    <xf numFmtId="0" fontId="0" fillId="0" borderId="0" xfId="0" applyFill="1" applyAlignment="1" applyProtection="1"/>
    <xf numFmtId="0" fontId="0" fillId="7" borderId="0" xfId="0" applyFill="1" applyAlignment="1" applyProtection="1"/>
    <xf numFmtId="0" fontId="21" fillId="7" borderId="4" xfId="0" applyFont="1" applyFill="1" applyBorder="1" applyAlignment="1" applyProtection="1">
      <alignment horizontal="center" vertical="center" wrapText="1"/>
    </xf>
    <xf numFmtId="0" fontId="0" fillId="0" borderId="0" xfId="0" applyAlignment="1">
      <alignment wrapText="1"/>
    </xf>
    <xf numFmtId="0" fontId="0" fillId="0" borderId="0" xfId="0" applyFill="1" applyBorder="1" applyAlignment="1" applyProtection="1"/>
    <xf numFmtId="0" fontId="21" fillId="7" borderId="4" xfId="0" applyFont="1" applyFill="1" applyBorder="1" applyAlignment="1" applyProtection="1">
      <alignment horizontal="center" vertical="center"/>
    </xf>
    <xf numFmtId="0" fontId="5" fillId="11" borderId="4" xfId="0" applyFont="1" applyFill="1" applyBorder="1" applyAlignment="1" applyProtection="1"/>
    <xf numFmtId="0" fontId="5" fillId="11" borderId="0" xfId="0" applyFont="1" applyFill="1" applyBorder="1" applyAlignment="1" applyProtection="1"/>
    <xf numFmtId="0" fontId="4" fillId="11" borderId="4" xfId="0" applyFont="1" applyFill="1" applyBorder="1" applyAlignment="1">
      <alignment horizontal="center"/>
    </xf>
    <xf numFmtId="0" fontId="0" fillId="11" borderId="2" xfId="0" applyFill="1" applyBorder="1" applyAlignment="1">
      <alignment horizontal="center"/>
    </xf>
    <xf numFmtId="0" fontId="4" fillId="11" borderId="0" xfId="0" applyFont="1" applyFill="1" applyAlignment="1">
      <alignment horizontal="center"/>
    </xf>
    <xf numFmtId="0" fontId="0" fillId="11" borderId="0" xfId="0" applyFill="1" applyAlignment="1">
      <alignment horizontal="center"/>
    </xf>
    <xf numFmtId="0" fontId="5" fillId="11" borderId="4" xfId="0" applyFont="1" applyFill="1" applyBorder="1" applyAlignment="1">
      <alignment horizontal="center"/>
    </xf>
    <xf numFmtId="0" fontId="4" fillId="11" borderId="0" xfId="0" applyFont="1" applyFill="1" applyBorder="1" applyAlignment="1">
      <alignment horizontal="center"/>
    </xf>
    <xf numFmtId="0" fontId="4" fillId="11" borderId="2" xfId="0" applyFont="1" applyFill="1" applyBorder="1" applyAlignment="1">
      <alignment horizontal="center"/>
    </xf>
    <xf numFmtId="0" fontId="5" fillId="11" borderId="0" xfId="0" applyFont="1" applyFill="1" applyBorder="1" applyAlignment="1"/>
    <xf numFmtId="0" fontId="4" fillId="11" borderId="0" xfId="0" applyFont="1" applyFill="1" applyBorder="1" applyAlignment="1"/>
    <xf numFmtId="0" fontId="5" fillId="11" borderId="3" xfId="0" applyFont="1" applyFill="1" applyBorder="1" applyAlignment="1">
      <alignment horizontal="center" vertical="top" wrapText="1"/>
    </xf>
    <xf numFmtId="0" fontId="5" fillId="11" borderId="3" xfId="0" applyFont="1" applyFill="1" applyBorder="1" applyAlignment="1">
      <alignment horizontal="center" wrapText="1"/>
    </xf>
    <xf numFmtId="0" fontId="5" fillId="11" borderId="4" xfId="0" applyFont="1" applyFill="1" applyBorder="1" applyAlignment="1">
      <alignment horizontal="center" wrapText="1"/>
    </xf>
    <xf numFmtId="0" fontId="4" fillId="0" borderId="0" xfId="0" applyFont="1" applyBorder="1" applyAlignment="1">
      <alignment horizontal="center"/>
    </xf>
    <xf numFmtId="0" fontId="18" fillId="0" borderId="0" xfId="1" applyFont="1" applyAlignment="1">
      <alignment horizontal="left" vertical="center"/>
    </xf>
    <xf numFmtId="0" fontId="18" fillId="0" borderId="0" xfId="1" applyFont="1" applyAlignment="1"/>
  </cellXfs>
  <cellStyles count="6">
    <cellStyle name="Comma" xfId="3" builtinId="3"/>
    <cellStyle name="Hyperlink" xfId="1" builtinId="8"/>
    <cellStyle name="Normal" xfId="0" builtinId="0"/>
    <cellStyle name="Normal 2" xfId="4"/>
    <cellStyle name="Normal 3" xfId="5"/>
    <cellStyle name="Percent" xfId="2" builtinId="5"/>
  </cellStyles>
  <dxfs count="0"/>
  <tableStyles count="0" defaultTableStyle="TableStyleMedium2" defaultPivotStyle="PivotStyleLight16"/>
  <colors>
    <mruColors>
      <color rgb="FF008000"/>
      <color rgb="FF003399"/>
      <color rgb="FFF5F2F8"/>
      <color rgb="FF0066CC"/>
      <color rgb="FFFFFF99"/>
      <color rgb="FFFFFFCC"/>
      <color rgb="FFEBF6F9"/>
      <color rgb="FFFFE9BD"/>
      <color rgb="FFFFDB9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'X Graph Data &amp; Checks'!$C$3</c:f>
              <c:strCache>
                <c:ptCount val="1"/>
                <c:pt idx="0">
                  <c:v>To Natural England</c:v>
                </c:pt>
              </c:strCache>
            </c:strRef>
          </c:tx>
          <c:invertIfNegative val="0"/>
          <c:dLbls>
            <c:delete val="1"/>
          </c:dLbls>
          <c:cat>
            <c:strRef>
              <c:f>'X Graph Data &amp; Checks'!$B$4:$B$6</c:f>
              <c:strCache>
                <c:ptCount val="3"/>
                <c:pt idx="0">
                  <c:v>Gross asset value</c:v>
                </c:pt>
                <c:pt idx="1">
                  <c:v>Liabilities</c:v>
                </c:pt>
                <c:pt idx="2">
                  <c:v>Net asset value </c:v>
                </c:pt>
              </c:strCache>
            </c:strRef>
          </c:cat>
          <c:val>
            <c:numRef>
              <c:f>'X Graph Data &amp; Checks'!$C$4:$C$6</c:f>
              <c:numCache>
                <c:formatCode>General</c:formatCode>
                <c:ptCount val="3"/>
                <c:pt idx="0">
                  <c:v>9.0996201428571538E-2</c:v>
                </c:pt>
                <c:pt idx="1">
                  <c:v>-7.443070482219448</c:v>
                </c:pt>
                <c:pt idx="2">
                  <c:v>-7.3520742807908768</c:v>
                </c:pt>
              </c:numCache>
            </c:numRef>
          </c:val>
          <c:extLst xmlns:c16r2="http://schemas.microsoft.com/office/drawing/2015/06/chart">
            <c:ext xmlns:c16="http://schemas.microsoft.com/office/drawing/2014/chart" uri="{C3380CC4-5D6E-409C-BE32-E72D297353CC}">
              <c16:uniqueId val="{00000000-31B5-4D8A-8320-1F91B2235AE5}"/>
            </c:ext>
          </c:extLst>
        </c:ser>
        <c:ser>
          <c:idx val="1"/>
          <c:order val="1"/>
          <c:tx>
            <c:strRef>
              <c:f>'X Graph Data &amp; Checks'!$D$3</c:f>
              <c:strCache>
                <c:ptCount val="1"/>
                <c:pt idx="0">
                  <c:v>To others</c:v>
                </c:pt>
              </c:strCache>
            </c:strRef>
          </c:tx>
          <c:spPr>
            <a:pattFill prst="ltDnDiag">
              <a:fgClr>
                <a:schemeClr val="tx2"/>
              </a:fgClr>
              <a:bgClr>
                <a:schemeClr val="bg1"/>
              </a:bgClr>
            </a:pattFill>
          </c:spPr>
          <c:invertIfNegative val="0"/>
          <c:dLbls>
            <c:delete val="1"/>
          </c:dLbls>
          <c:cat>
            <c:strRef>
              <c:f>'X Graph Data &amp; Checks'!$B$4:$B$6</c:f>
              <c:strCache>
                <c:ptCount val="3"/>
                <c:pt idx="0">
                  <c:v>Gross asset value</c:v>
                </c:pt>
                <c:pt idx="1">
                  <c:v>Liabilities</c:v>
                </c:pt>
                <c:pt idx="2">
                  <c:v>Net asset value </c:v>
                </c:pt>
              </c:strCache>
            </c:strRef>
          </c:cat>
          <c:val>
            <c:numRef>
              <c:f>'X Graph Data &amp; Checks'!$D$4:$D$6</c:f>
              <c:numCache>
                <c:formatCode>General</c:formatCode>
                <c:ptCount val="3"/>
                <c:pt idx="0">
                  <c:v>11.944392204059998</c:v>
                </c:pt>
                <c:pt idx="1">
                  <c:v>-3.1634035714285744</c:v>
                </c:pt>
                <c:pt idx="2">
                  <c:v>8.7809886326314235</c:v>
                </c:pt>
              </c:numCache>
            </c:numRef>
          </c:val>
          <c:extLst xmlns:c16r2="http://schemas.microsoft.com/office/drawing/2015/06/chart">
            <c:ext xmlns:c16="http://schemas.microsoft.com/office/drawing/2014/chart" uri="{C3380CC4-5D6E-409C-BE32-E72D297353CC}">
              <c16:uniqueId val="{00000001-31B5-4D8A-8320-1F91B2235AE5}"/>
            </c:ext>
          </c:extLst>
        </c:ser>
        <c:dLbls>
          <c:showLegendKey val="0"/>
          <c:showVal val="1"/>
          <c:showCatName val="0"/>
          <c:showSerName val="0"/>
          <c:showPercent val="0"/>
          <c:showBubbleSize val="0"/>
        </c:dLbls>
        <c:gapWidth val="75"/>
        <c:overlap val="100"/>
        <c:axId val="241780728"/>
        <c:axId val="241780336"/>
      </c:barChart>
      <c:catAx>
        <c:axId val="241780728"/>
        <c:scaling>
          <c:orientation val="minMax"/>
        </c:scaling>
        <c:delete val="0"/>
        <c:axPos val="b"/>
        <c:numFmt formatCode="General" sourceLinked="0"/>
        <c:majorTickMark val="none"/>
        <c:minorTickMark val="none"/>
        <c:tickLblPos val="low"/>
        <c:crossAx val="241780336"/>
        <c:crosses val="autoZero"/>
        <c:auto val="1"/>
        <c:lblAlgn val="ctr"/>
        <c:lblOffset val="100"/>
        <c:noMultiLvlLbl val="0"/>
      </c:catAx>
      <c:valAx>
        <c:axId val="241780336"/>
        <c:scaling>
          <c:orientation val="minMax"/>
        </c:scaling>
        <c:delete val="0"/>
        <c:axPos val="l"/>
        <c:numFmt formatCode="#,##0" sourceLinked="0"/>
        <c:majorTickMark val="none"/>
        <c:minorTickMark val="none"/>
        <c:tickLblPos val="nextTo"/>
        <c:crossAx val="241780728"/>
        <c:crosses val="autoZero"/>
        <c:crossBetween val="between"/>
      </c:valAx>
      <c:spPr>
        <a:noFill/>
      </c:spPr>
    </c:plotArea>
    <c:legend>
      <c:legendPos val="b"/>
      <c:layout>
        <c:manualLayout>
          <c:xMode val="edge"/>
          <c:yMode val="edge"/>
          <c:x val="0.23567498388945321"/>
          <c:y val="0.82717402848799759"/>
          <c:w val="0.72127567659588576"/>
          <c:h val="0.13888673531193216"/>
        </c:manualLayout>
      </c:layout>
      <c:overlay val="0"/>
    </c:legend>
    <c:plotVisOnly val="1"/>
    <c:dispBlanksAs val="gap"/>
    <c:showDLblsOverMax val="0"/>
  </c:chart>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cus!A1"/></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Capital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ip Capitals'!A1"/></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3" Type="http://schemas.openxmlformats.org/officeDocument/2006/relationships/hyperlink" Target="#Focus!B8"/><Relationship Id="rId2" Type="http://schemas.openxmlformats.org/officeDocument/2006/relationships/image" Target="../media/image9.jpeg"/><Relationship Id="rId1" Type="http://schemas.openxmlformats.org/officeDocument/2006/relationships/hyperlink" Target="#Focus!B4"/><Relationship Id="rId4" Type="http://schemas.openxmlformats.org/officeDocument/2006/relationships/hyperlink" Target="#Focus!B6"/></Relationships>
</file>

<file path=xl/drawings/_rels/drawing15.xml.rels><?xml version="1.0" encoding="UTF-8" standalone="yes"?>
<Relationships xmlns="http://schemas.openxmlformats.org/package/2006/relationships"><Relationship Id="rId3" Type="http://schemas.openxmlformats.org/officeDocument/2006/relationships/hyperlink" Target="#Focus!C21"/><Relationship Id="rId2" Type="http://schemas.openxmlformats.org/officeDocument/2006/relationships/image" Target="../media/image9.jpeg"/><Relationship Id="rId1" Type="http://schemas.openxmlformats.org/officeDocument/2006/relationships/hyperlink" Target="#Focus!B4"/></Relationships>
</file>

<file path=xl/drawings/_rels/drawing16.xml.rels><?xml version="1.0" encoding="UTF-8" standalone="yes"?>
<Relationships xmlns="http://schemas.openxmlformats.org/package/2006/relationships"><Relationship Id="rId3" Type="http://schemas.openxmlformats.org/officeDocument/2006/relationships/hyperlink" Target="#Focus!B10"/><Relationship Id="rId2" Type="http://schemas.openxmlformats.org/officeDocument/2006/relationships/image" Target="../media/image9.jpeg"/><Relationship Id="rId1" Type="http://schemas.openxmlformats.org/officeDocument/2006/relationships/hyperlink" Target="#Focus!B4"/><Relationship Id="rId5" Type="http://schemas.openxmlformats.org/officeDocument/2006/relationships/hyperlink" Target="#Focus!B8"/><Relationship Id="rId4" Type="http://schemas.openxmlformats.org/officeDocument/2006/relationships/hyperlink" Target="#Focus!B6"/></Relationships>
</file>

<file path=xl/drawings/_rels/drawing17.xml.rels><?xml version="1.0" encoding="UTF-8" standalone="yes"?>
<Relationships xmlns="http://schemas.openxmlformats.org/package/2006/relationships"><Relationship Id="rId3" Type="http://schemas.openxmlformats.org/officeDocument/2006/relationships/hyperlink" Target="#'RS G &amp; S'!B13"/><Relationship Id="rId2" Type="http://schemas.openxmlformats.org/officeDocument/2006/relationships/image" Target="../media/image9.jpeg"/><Relationship Id="rId1" Type="http://schemas.openxmlformats.org/officeDocument/2006/relationships/hyperlink" Target="#'G &amp; S'!A1"/><Relationship Id="rId4" Type="http://schemas.openxmlformats.org/officeDocument/2006/relationships/hyperlink" Target="#'RS G &amp; S'!B17"/></Relationships>
</file>

<file path=xl/drawings/_rels/drawing18.xml.rels><?xml version="1.0" encoding="UTF-8" standalone="yes"?>
<Relationships xmlns="http://schemas.openxmlformats.org/package/2006/relationships"><Relationship Id="rId3" Type="http://schemas.openxmlformats.org/officeDocument/2006/relationships/hyperlink" Target="#'G &amp; S Initial'!A1"/><Relationship Id="rId2" Type="http://schemas.openxmlformats.org/officeDocument/2006/relationships/image" Target="../media/image9.jpeg"/><Relationship Id="rId1" Type="http://schemas.openxmlformats.org/officeDocument/2006/relationships/hyperlink" Target="#'RS G &amp; S'!B13"/><Relationship Id="rId4" Type="http://schemas.openxmlformats.org/officeDocument/2006/relationships/hyperlink" Target="#'RS Phys Flow'!B15"/></Relationships>
</file>

<file path=xl/drawings/_rels/drawing19.xml.rels><?xml version="1.0" encoding="UTF-8" standalone="yes"?>
<Relationships xmlns="http://schemas.openxmlformats.org/package/2006/relationships"><Relationship Id="rId3" Type="http://schemas.openxmlformats.org/officeDocument/2006/relationships/hyperlink" Target="#Indicators!B18"/><Relationship Id="rId2" Type="http://schemas.openxmlformats.org/officeDocument/2006/relationships/image" Target="../media/image9.jpeg"/><Relationship Id="rId1" Type="http://schemas.openxmlformats.org/officeDocument/2006/relationships/hyperlink" Target="#'RS G &amp; S'!B13"/></Relationships>
</file>

<file path=xl/drawings/_rels/drawing2.xml.rels><?xml version="1.0" encoding="UTF-8" standalone="yes"?>
<Relationships xmlns="http://schemas.openxmlformats.org/package/2006/relationships"><Relationship Id="rId3" Type="http://schemas.openxmlformats.org/officeDocument/2006/relationships/hyperlink" Target="#'Tip Entering'!A1"/><Relationship Id="rId2" Type="http://schemas.openxmlformats.org/officeDocument/2006/relationships/image" Target="../media/image2.png"/><Relationship Id="rId1" Type="http://schemas.openxmlformats.org/officeDocument/2006/relationships/hyperlink" Target="#'Tip Prin'!A1"/><Relationship Id="rId6" Type="http://schemas.openxmlformats.org/officeDocument/2006/relationships/hyperlink" Target="#'Tip Tenant'!A1"/><Relationship Id="rId5" Type="http://schemas.openxmlformats.org/officeDocument/2006/relationships/image" Target="../media/image1.jpeg"/><Relationship Id="rId4" Type="http://schemas.openxmlformats.org/officeDocument/2006/relationships/hyperlink" Target="#'G &amp; S'!A1"/></Relationships>
</file>

<file path=xl/drawings/_rels/drawing20.xml.rels><?xml version="1.0" encoding="UTF-8" standalone="yes"?>
<Relationships xmlns="http://schemas.openxmlformats.org/package/2006/relationships"><Relationship Id="rId3" Type="http://schemas.openxmlformats.org/officeDocument/2006/relationships/hyperlink" Target="#Indicators!B32"/><Relationship Id="rId2" Type="http://schemas.openxmlformats.org/officeDocument/2006/relationships/image" Target="../media/image9.jpeg"/><Relationship Id="rId1" Type="http://schemas.openxmlformats.org/officeDocument/2006/relationships/hyperlink" Target="#'RS G &amp; S'!B13"/></Relationships>
</file>

<file path=xl/drawings/_rels/drawing21.xml.rels><?xml version="1.0" encoding="UTF-8" standalone="yes"?>
<Relationships xmlns="http://schemas.openxmlformats.org/package/2006/relationships"><Relationship Id="rId3" Type="http://schemas.openxmlformats.org/officeDocument/2006/relationships/hyperlink" Target="#Indicators!B52"/><Relationship Id="rId2" Type="http://schemas.openxmlformats.org/officeDocument/2006/relationships/image" Target="../media/image9.jpeg"/><Relationship Id="rId1" Type="http://schemas.openxmlformats.org/officeDocument/2006/relationships/hyperlink" Target="#'RS G &amp; S'!B41"/><Relationship Id="rId4" Type="http://schemas.openxmlformats.org/officeDocument/2006/relationships/hyperlink" Target="#'RS Register'!B24"/></Relationships>
</file>

<file path=xl/drawings/_rels/drawing22.xml.rels><?xml version="1.0" encoding="UTF-8" standalone="yes"?>
<Relationships xmlns="http://schemas.openxmlformats.org/package/2006/relationships"><Relationship Id="rId3" Type="http://schemas.openxmlformats.org/officeDocument/2006/relationships/hyperlink" Target="#'RS G &amp; S'!B16"/><Relationship Id="rId2" Type="http://schemas.openxmlformats.org/officeDocument/2006/relationships/image" Target="../media/image9.jpeg"/><Relationship Id="rId1" Type="http://schemas.openxmlformats.org/officeDocument/2006/relationships/hyperlink" Target="#'Cost Initial'!A1"/></Relationships>
</file>

<file path=xl/drawings/_rels/drawing23.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hyperlink" Target="#'Health Benefits'!B101"/></Relationships>
</file>

<file path=xl/drawings/_rels/drawing24.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hyperlink" Target="#Capitals!A1"/></Relationships>
</file>

<file path=xl/drawings/_rels/drawing3.xml.rels><?xml version="1.0" encoding="UTF-8" standalone="yes"?>
<Relationships xmlns="http://schemas.openxmlformats.org/package/2006/relationships"><Relationship Id="rId3" Type="http://schemas.openxmlformats.org/officeDocument/2006/relationships/hyperlink" Target="#'G &amp; S Initial'!A1"/><Relationship Id="rId2" Type="http://schemas.openxmlformats.org/officeDocument/2006/relationships/image" Target="../media/image2.png"/><Relationship Id="rId1" Type="http://schemas.openxmlformats.org/officeDocument/2006/relationships/hyperlink" Target="#'Tip G&amp;S'!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hyperlink" Target="#Indicators!A1"/><Relationship Id="rId2" Type="http://schemas.openxmlformats.org/officeDocument/2006/relationships/image" Target="../media/image4.png"/><Relationship Id="rId1" Type="http://schemas.openxmlformats.org/officeDocument/2006/relationships/hyperlink" Target="#'Tip G&amp;SInitial'!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hyperlink" Target="#Indicators!A1"/><Relationship Id="rId2" Type="http://schemas.openxmlformats.org/officeDocument/2006/relationships/image" Target="../media/image3.jpeg"/><Relationship Id="rId1" Type="http://schemas.openxmlformats.org/officeDocument/2006/relationships/hyperlink" Target="#'RS Register'!A1"/></Relationships>
</file>

<file path=xl/drawings/_rels/drawing6.xml.rels><?xml version="1.0" encoding="UTF-8" standalone="yes"?>
<Relationships xmlns="http://schemas.openxmlformats.org/package/2006/relationships"><Relationship Id="rId3" Type="http://schemas.openxmlformats.org/officeDocument/2006/relationships/hyperlink" Target="#'Tip QualInd'!A1"/><Relationship Id="rId7" Type="http://schemas.openxmlformats.org/officeDocument/2006/relationships/image" Target="../media/image7.jpeg"/><Relationship Id="rId2" Type="http://schemas.openxmlformats.org/officeDocument/2006/relationships/image" Target="../media/image5.png"/><Relationship Id="rId1" Type="http://schemas.openxmlformats.org/officeDocument/2006/relationships/hyperlink" Target="#'Tip QuantInd'!A1"/><Relationship Id="rId6" Type="http://schemas.openxmlformats.org/officeDocument/2006/relationships/hyperlink" Target="#'Cost Initial'!A1"/><Relationship Id="rId5" Type="http://schemas.openxmlformats.org/officeDocument/2006/relationships/hyperlink" Target="#'Tip OthInd'!A1"/><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hyperlink" Target="#'Cost Projections'!A1"/><Relationship Id="rId2" Type="http://schemas.openxmlformats.org/officeDocument/2006/relationships/image" Target="../media/image8.png"/><Relationship Id="rId1" Type="http://schemas.openxmlformats.org/officeDocument/2006/relationships/hyperlink" Target="#'Tip CostInitial'!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Values!A1"/></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ealth Benefits'!A1"/></Relationships>
</file>

<file path=xl/drawings/drawing1.xml><?xml version="1.0" encoding="utf-8"?>
<xdr:wsDr xmlns:xdr="http://schemas.openxmlformats.org/drawingml/2006/spreadsheetDrawing" xmlns:a="http://schemas.openxmlformats.org/drawingml/2006/main">
  <xdr:twoCellAnchor editAs="oneCell">
    <xdr:from>
      <xdr:col>1</xdr:col>
      <xdr:colOff>95249</xdr:colOff>
      <xdr:row>26</xdr:row>
      <xdr:rowOff>166687</xdr:rowOff>
    </xdr:from>
    <xdr:to>
      <xdr:col>1</xdr:col>
      <xdr:colOff>386849</xdr:colOff>
      <xdr:row>28</xdr:row>
      <xdr:rowOff>77287</xdr:rowOff>
    </xdr:to>
    <xdr:pic>
      <xdr:nvPicPr>
        <xdr:cNvPr id="2" name="Picture 1">
          <a:hlinkClick xmlns:r="http://schemas.openxmlformats.org/officeDocument/2006/relationships" r:id="rId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062" y="9394031"/>
          <a:ext cx="291600" cy="29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35719</xdr:colOff>
      <xdr:row>139</xdr:row>
      <xdr:rowOff>142875</xdr:rowOff>
    </xdr:from>
    <xdr:to>
      <xdr:col>1</xdr:col>
      <xdr:colOff>327319</xdr:colOff>
      <xdr:row>141</xdr:row>
      <xdr:rowOff>72526</xdr:rowOff>
    </xdr:to>
    <xdr:pic>
      <xdr:nvPicPr>
        <xdr:cNvPr id="2" name="Picture 1">
          <a:hlinkClick xmlns:r="http://schemas.openxmlformats.org/officeDocument/2006/relationships" r:id="rId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0532" y="27003375"/>
          <a:ext cx="291600" cy="31065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2607468</xdr:colOff>
      <xdr:row>10</xdr:row>
      <xdr:rowOff>178594</xdr:rowOff>
    </xdr:from>
    <xdr:ext cx="291600" cy="291600"/>
    <xdr:pic>
      <xdr:nvPicPr>
        <xdr:cNvPr id="3" name="Picture 2">
          <a:hlinkClick xmlns:r="http://schemas.openxmlformats.org/officeDocument/2006/relationships" r:id="rId1"/>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12281" y="1714500"/>
          <a:ext cx="291600" cy="291600"/>
        </a:xfrm>
        <a:prstGeom prst="rect">
          <a:avLst/>
        </a:prstGeom>
        <a:solidFill>
          <a:srgbClr val="FFFF00"/>
        </a:solidFill>
      </xdr:spPr>
    </xdr:pic>
    <xdr:clientData/>
  </xdr:oneCellAnchor>
</xdr:wsDr>
</file>

<file path=xl/drawings/drawing12.xml><?xml version="1.0" encoding="utf-8"?>
<xdr:wsDr xmlns:xdr="http://schemas.openxmlformats.org/drawingml/2006/spreadsheetDrawing" xmlns:a="http://schemas.openxmlformats.org/drawingml/2006/main">
  <xdr:twoCellAnchor>
    <xdr:from>
      <xdr:col>1</xdr:col>
      <xdr:colOff>0</xdr:colOff>
      <xdr:row>32</xdr:row>
      <xdr:rowOff>0</xdr:rowOff>
    </xdr:from>
    <xdr:to>
      <xdr:col>2</xdr:col>
      <xdr:colOff>107156</xdr:colOff>
      <xdr:row>44</xdr:row>
      <xdr:rowOff>107156</xdr:rowOff>
    </xdr:to>
    <xdr:graphicFrame macro="">
      <xdr:nvGraphicFramePr>
        <xdr:cNvPr id="4" name="Chart 3">
          <a:extLst>
            <a:ext uri="{FF2B5EF4-FFF2-40B4-BE49-F238E27FC236}">
              <a16:creationId xmlns:a16="http://schemas.microsoft.com/office/drawing/2014/main" xmlns=""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0.00512</cdr:x>
      <cdr:y>0.79853</cdr:y>
    </cdr:from>
    <cdr:to>
      <cdr:x>0.29212</cdr:x>
      <cdr:y>0.87548</cdr:y>
    </cdr:to>
    <cdr:sp macro="" textlink="">
      <cdr:nvSpPr>
        <cdr:cNvPr id="2" name="TextBox 1"/>
        <cdr:cNvSpPr txBox="1"/>
      </cdr:nvSpPr>
      <cdr:spPr>
        <a:xfrm xmlns:a="http://schemas.openxmlformats.org/drawingml/2006/main">
          <a:off x="13607" y="1845801"/>
          <a:ext cx="762000" cy="1778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000"/>
            <a:t>£ millions</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9524</xdr:colOff>
      <xdr:row>1</xdr:row>
      <xdr:rowOff>19051</xdr:rowOff>
    </xdr:from>
    <xdr:to>
      <xdr:col>11</xdr:col>
      <xdr:colOff>83343</xdr:colOff>
      <xdr:row>15</xdr:row>
      <xdr:rowOff>11906</xdr:rowOff>
    </xdr:to>
    <xdr:sp macro="" textlink="">
      <xdr:nvSpPr>
        <xdr:cNvPr id="2" name="TextBox 1">
          <a:extLst>
            <a:ext uri="{FF2B5EF4-FFF2-40B4-BE49-F238E27FC236}">
              <a16:creationId xmlns:a16="http://schemas.microsoft.com/office/drawing/2014/main" xmlns="" id="{00000000-0008-0000-0E00-000002000000}"/>
            </a:ext>
          </a:extLst>
        </xdr:cNvPr>
        <xdr:cNvSpPr txBox="1"/>
      </xdr:nvSpPr>
      <xdr:spPr>
        <a:xfrm>
          <a:off x="9524" y="340520"/>
          <a:ext cx="8455819" cy="2659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90000" rIns="360000" bIns="90000" rtlCol="0" anchor="t"/>
        <a:lstStyle/>
        <a:p>
          <a:pPr marL="226695" indent="-226695">
            <a:spcBef>
              <a:spcPts val="1200"/>
            </a:spcBef>
            <a:spcAft>
              <a:spcPts val="0"/>
            </a:spcAft>
          </a:pPr>
          <a:r>
            <a:rPr lang="en-GB" sz="1100" b="1">
              <a:effectLst/>
              <a:latin typeface="Arial"/>
              <a:cs typeface="Times New Roman"/>
            </a:rPr>
            <a:t>Key principles to employ </a:t>
          </a: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Focus on the key information and the general situation. Provide a rough generalisation of the complexity of the NNR.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Calibri"/>
              <a:cs typeface="Times New Roman"/>
            </a:rPr>
            <a:t>Concentrate on natural capital assets that Natural England has stewardship responsibility for (owns or leases).</a:t>
          </a:r>
        </a:p>
        <a:p>
          <a:pPr marL="342900" marR="0" lvl="0" indent="-342900" defTabSz="914400" eaLnBrk="1" fontAlgn="auto" latinLnBrk="0" hangingPunct="1">
            <a:lnSpc>
              <a:spcPct val="100000"/>
            </a:lnSpc>
            <a:spcBef>
              <a:spcPts val="600"/>
            </a:spcBef>
            <a:spcAft>
              <a:spcPts val="0"/>
            </a:spcAft>
            <a:buClrTx/>
            <a:buSzTx/>
            <a:buFont typeface="Symbol"/>
            <a:buChar char=""/>
            <a:tabLst/>
            <a:defRPr/>
          </a:pPr>
          <a:r>
            <a:rPr lang="en-GB" sz="1100">
              <a:solidFill>
                <a:schemeClr val="dk1"/>
              </a:solidFill>
              <a:effectLst/>
              <a:latin typeface="Arial" panose="020B0604020202020204" pitchFamily="34" charset="0"/>
              <a:ea typeface="+mn-ea"/>
              <a:cs typeface="Arial" panose="020B0604020202020204" pitchFamily="34" charset="0"/>
            </a:rPr>
            <a:t>Decide</a:t>
          </a:r>
          <a:r>
            <a:rPr lang="en-GB" sz="1100" baseline="0">
              <a:solidFill>
                <a:schemeClr val="dk1"/>
              </a:solidFill>
              <a:effectLst/>
              <a:latin typeface="Arial" panose="020B0604020202020204" pitchFamily="34" charset="0"/>
              <a:ea typeface="+mn-ea"/>
              <a:cs typeface="Arial" panose="020B0604020202020204" pitchFamily="34" charset="0"/>
            </a:rPr>
            <a:t> whether the assessment will be most useful if it focuses (a) only on the </a:t>
          </a:r>
          <a:r>
            <a:rPr lang="en-GB" sz="1100">
              <a:solidFill>
                <a:schemeClr val="dk1"/>
              </a:solidFill>
              <a:effectLst/>
              <a:latin typeface="Arial" panose="020B0604020202020204" pitchFamily="34" charset="0"/>
              <a:ea typeface="+mn-ea"/>
              <a:cs typeface="Arial" panose="020B0604020202020204" pitchFamily="34" charset="0"/>
            </a:rPr>
            <a:t>operations of Natural England  or (b)</a:t>
          </a:r>
          <a:r>
            <a:rPr lang="en-GB" sz="1100" baseline="0">
              <a:solidFill>
                <a:schemeClr val="dk1"/>
              </a:solidFill>
              <a:effectLst/>
              <a:latin typeface="Arial" panose="020B0604020202020204" pitchFamily="34" charset="0"/>
              <a:ea typeface="+mn-ea"/>
              <a:cs typeface="Arial" panose="020B0604020202020204" pitchFamily="34" charset="0"/>
            </a:rPr>
            <a:t> if it also includes the operations of tenants within the boundary of the NNR</a:t>
          </a:r>
          <a:r>
            <a:rPr lang="en-GB" sz="1100">
              <a:solidFill>
                <a:schemeClr val="dk1"/>
              </a:solidFill>
              <a:effectLst/>
              <a:latin typeface="Arial" panose="020B0604020202020204" pitchFamily="34" charset="0"/>
              <a:ea typeface="+mn-ea"/>
              <a:cs typeface="Arial" panose="020B0604020202020204" pitchFamily="34" charset="0"/>
            </a:rPr>
            <a:t>. If it includes</a:t>
          </a:r>
          <a:r>
            <a:rPr lang="en-GB" sz="1100" baseline="0">
              <a:solidFill>
                <a:schemeClr val="dk1"/>
              </a:solidFill>
              <a:effectLst/>
              <a:latin typeface="Arial" panose="020B0604020202020204" pitchFamily="34" charset="0"/>
              <a:ea typeface="+mn-ea"/>
              <a:cs typeface="Arial" panose="020B0604020202020204" pitchFamily="34" charset="0"/>
            </a:rPr>
            <a:t> the operations of tenants, you will need to ask the tenant to provide data on their operations. Specifically, data on the quantity of environmental goods and services produced, their monetary value and the costs of their production.</a:t>
          </a:r>
          <a:endParaRPr lang="en-GB" sz="1100">
            <a:effectLst/>
            <a:latin typeface="Arial" panose="020B0604020202020204" pitchFamily="34" charset="0"/>
            <a:cs typeface="Arial" panose="020B0604020202020204" pitchFamily="34" charset="0"/>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Use information that is readily available.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Specify the source of the information, assumptions and explanatory notes to help you remember / help someone else understand.</a:t>
          </a:r>
          <a:r>
            <a:rPr lang="en-GB" sz="1600">
              <a:effectLst/>
              <a:latin typeface="Arial"/>
              <a:ea typeface="Calibri"/>
              <a:cs typeface="Times New Roman"/>
            </a:rPr>
            <a:t> </a:t>
          </a:r>
        </a:p>
        <a:p>
          <a:pPr marL="228600">
            <a:spcAft>
              <a:spcPts val="0"/>
            </a:spcAft>
          </a:pPr>
          <a:r>
            <a:rPr lang="en-GB" sz="1200">
              <a:effectLst/>
              <a:latin typeface="Arial"/>
              <a:ea typeface="Calibri"/>
              <a:cs typeface="Times New Roman"/>
            </a:rPr>
            <a:t> </a:t>
          </a:r>
        </a:p>
        <a:p>
          <a:pPr marL="228600">
            <a:spcBef>
              <a:spcPts val="300"/>
            </a:spcBef>
            <a:spcAft>
              <a:spcPts val="0"/>
            </a:spcAft>
          </a:pPr>
          <a:r>
            <a:rPr lang="en-GB" sz="1200">
              <a:effectLst/>
              <a:latin typeface="Arial"/>
              <a:ea typeface="Calibri"/>
              <a:cs typeface="Times New Roman"/>
            </a:rPr>
            <a:t> </a:t>
          </a:r>
        </a:p>
        <a:p>
          <a:pPr marL="228600">
            <a:spcBef>
              <a:spcPts val="300"/>
            </a:spcBef>
            <a:spcAft>
              <a:spcPts val="0"/>
            </a:spcAft>
          </a:pPr>
          <a:r>
            <a:rPr lang="en-GB" sz="1200">
              <a:effectLst/>
              <a:latin typeface="Arial"/>
              <a:ea typeface="Calibri"/>
              <a:cs typeface="Times New Roman"/>
            </a:rPr>
            <a:t> </a:t>
          </a:r>
        </a:p>
        <a:p>
          <a:endParaRPr lang="en-GB" sz="1100"/>
        </a:p>
      </xdr:txBody>
    </xdr:sp>
    <xdr:clientData/>
  </xdr:twoCellAnchor>
  <xdr:twoCellAnchor editAs="oneCell">
    <xdr:from>
      <xdr:col>0</xdr:col>
      <xdr:colOff>333375</xdr:colOff>
      <xdr:row>16</xdr:row>
      <xdr:rowOff>35719</xdr:rowOff>
    </xdr:from>
    <xdr:to>
      <xdr:col>0</xdr:col>
      <xdr:colOff>624976</xdr:colOff>
      <xdr:row>17</xdr:row>
      <xdr:rowOff>5850</xdr:rowOff>
    </xdr:to>
    <xdr:pic>
      <xdr:nvPicPr>
        <xdr:cNvPr id="3" name="Picture 2">
          <a:hlinkClick xmlns:r="http://schemas.openxmlformats.org/officeDocument/2006/relationships" r:id="rId1"/>
          <a:extLst>
            <a:ext uri="{FF2B5EF4-FFF2-40B4-BE49-F238E27FC236}">
              <a16:creationId xmlns:a16="http://schemas.microsoft.com/office/drawing/2014/main" xmlns=""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a:extLst>
            <a:ext uri="{FF2B5EF4-FFF2-40B4-BE49-F238E27FC236}">
              <a16:creationId xmlns:a16="http://schemas.microsoft.com/office/drawing/2014/main" xmlns="" id="{00000000-0008-0000-0E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274219"/>
          <a:ext cx="291601" cy="291600"/>
        </a:xfrm>
        <a:prstGeom prst="rect">
          <a:avLst/>
        </a:prstGeom>
      </xdr:spPr>
    </xdr:pic>
    <xdr:clientData/>
  </xdr:oneCellAnchor>
  <xdr:oneCellAnchor>
    <xdr:from>
      <xdr:col>0</xdr:col>
      <xdr:colOff>321469</xdr:colOff>
      <xdr:row>0</xdr:row>
      <xdr:rowOff>23813</xdr:rowOff>
    </xdr:from>
    <xdr:ext cx="291601" cy="291600"/>
    <xdr:pic>
      <xdr:nvPicPr>
        <xdr:cNvPr id="5" name="Picture 4">
          <a:hlinkClick xmlns:r="http://schemas.openxmlformats.org/officeDocument/2006/relationships" r:id="rId3"/>
          <a:extLst>
            <a:ext uri="{FF2B5EF4-FFF2-40B4-BE49-F238E27FC236}">
              <a16:creationId xmlns:a16="http://schemas.microsoft.com/office/drawing/2014/main" xmlns="" id="{00000000-0008-0000-0E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469" y="23813"/>
          <a:ext cx="291601" cy="291600"/>
        </a:xfrm>
        <a:prstGeom prst="rect">
          <a:avLst/>
        </a:prstGeom>
      </xdr:spPr>
    </xdr:pic>
    <xdr:clientData/>
  </xdr:oneCellAnchor>
  <xdr:oneCellAnchor>
    <xdr:from>
      <xdr:col>0</xdr:col>
      <xdr:colOff>333375</xdr:colOff>
      <xdr:row>16</xdr:row>
      <xdr:rowOff>35719</xdr:rowOff>
    </xdr:from>
    <xdr:ext cx="291601" cy="291600"/>
    <xdr:pic>
      <xdr:nvPicPr>
        <xdr:cNvPr id="6" name="Picture 5">
          <a:hlinkClick xmlns:r="http://schemas.openxmlformats.org/officeDocument/2006/relationships" r:id="rId1"/>
          <a:extLst>
            <a:ext uri="{FF2B5EF4-FFF2-40B4-BE49-F238E27FC236}">
              <a16:creationId xmlns:a16="http://schemas.microsoft.com/office/drawing/2014/main" xmlns="" id="{00000000-0008-0000-0E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16</xdr:row>
      <xdr:rowOff>35719</xdr:rowOff>
    </xdr:from>
    <xdr:ext cx="291601" cy="291600"/>
    <xdr:pic>
      <xdr:nvPicPr>
        <xdr:cNvPr id="7" name="Picture 6">
          <a:hlinkClick xmlns:r="http://schemas.openxmlformats.org/officeDocument/2006/relationships" r:id="rId4"/>
          <a:extLst>
            <a:ext uri="{FF2B5EF4-FFF2-40B4-BE49-F238E27FC236}">
              <a16:creationId xmlns:a16="http://schemas.microsoft.com/office/drawing/2014/main" xmlns="" id="{00000000-0008-0000-0E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16</xdr:row>
      <xdr:rowOff>35719</xdr:rowOff>
    </xdr:from>
    <xdr:ext cx="291601" cy="291600"/>
    <xdr:pic>
      <xdr:nvPicPr>
        <xdr:cNvPr id="8" name="Picture 7">
          <a:hlinkClick xmlns:r="http://schemas.openxmlformats.org/officeDocument/2006/relationships" r:id="rId1"/>
          <a:extLst>
            <a:ext uri="{FF2B5EF4-FFF2-40B4-BE49-F238E27FC236}">
              <a16:creationId xmlns:a16="http://schemas.microsoft.com/office/drawing/2014/main" xmlns="" id="{00000000-0008-0000-0E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321469</xdr:colOff>
      <xdr:row>16</xdr:row>
      <xdr:rowOff>23813</xdr:rowOff>
    </xdr:from>
    <xdr:ext cx="291601" cy="291600"/>
    <xdr:pic>
      <xdr:nvPicPr>
        <xdr:cNvPr id="9" name="Picture 8">
          <a:hlinkClick xmlns:r="http://schemas.openxmlformats.org/officeDocument/2006/relationships" r:id="rId3"/>
          <a:extLst>
            <a:ext uri="{FF2B5EF4-FFF2-40B4-BE49-F238E27FC236}">
              <a16:creationId xmlns:a16="http://schemas.microsoft.com/office/drawing/2014/main" xmlns="" id="{00000000-0008-0000-0E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469" y="23813"/>
          <a:ext cx="291601" cy="2916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xdr:from>
      <xdr:col>0</xdr:col>
      <xdr:colOff>9524</xdr:colOff>
      <xdr:row>1</xdr:row>
      <xdr:rowOff>19052</xdr:rowOff>
    </xdr:from>
    <xdr:to>
      <xdr:col>11</xdr:col>
      <xdr:colOff>23812</xdr:colOff>
      <xdr:row>18</xdr:row>
      <xdr:rowOff>178593</xdr:rowOff>
    </xdr:to>
    <xdr:sp macro="" textlink="">
      <xdr:nvSpPr>
        <xdr:cNvPr id="2" name="TextBox 1">
          <a:extLst>
            <a:ext uri="{FF2B5EF4-FFF2-40B4-BE49-F238E27FC236}">
              <a16:creationId xmlns:a16="http://schemas.microsoft.com/office/drawing/2014/main" xmlns="" id="{00000000-0008-0000-0F00-000002000000}"/>
            </a:ext>
          </a:extLst>
        </xdr:cNvPr>
        <xdr:cNvSpPr txBox="1"/>
      </xdr:nvSpPr>
      <xdr:spPr>
        <a:xfrm>
          <a:off x="9524" y="340521"/>
          <a:ext cx="8396288" cy="3398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90000" rIns="360000" bIns="90000" rtlCol="0" anchor="t"/>
        <a:lstStyle/>
        <a:p>
          <a:pPr>
            <a:lnSpc>
              <a:spcPct val="115000"/>
            </a:lnSpc>
            <a:spcBef>
              <a:spcPts val="1200"/>
            </a:spcBef>
            <a:spcAft>
              <a:spcPts val="600"/>
            </a:spcAft>
          </a:pPr>
          <a:r>
            <a:rPr lang="en-GB" sz="1100" b="1">
              <a:effectLst/>
              <a:latin typeface="Arial" panose="020B0604020202020204" pitchFamily="34" charset="0"/>
              <a:ea typeface="Calibri" panose="020F0502020204030204" pitchFamily="34" charset="0"/>
              <a:cs typeface="Times New Roman" panose="02020603050405020304" pitchFamily="18" charset="0"/>
            </a:rPr>
            <a:t>Advice on whether to include the operations of tenants: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If the assessment is providing baseline information for evaluation in future, its focus should be on what is going to be evaluated drawing on the baseline information. This could be:</a:t>
          </a:r>
        </a:p>
        <a:p>
          <a:pPr marL="342900" lvl="0" indent="-342900">
            <a:lnSpc>
              <a:spcPct val="115000"/>
            </a:lnSpc>
            <a:spcBef>
              <a:spcPts val="300"/>
            </a:spcBef>
            <a:spcAft>
              <a:spcPts val="0"/>
            </a:spcAft>
            <a:buFont typeface="Symbol" panose="05050102010706020507" pitchFamily="18" charset="2"/>
            <a:buChar char=""/>
          </a:pPr>
          <a:r>
            <a:rPr lang="en-GB" sz="1100">
              <a:effectLst/>
              <a:latin typeface="Arial" panose="020B0604020202020204" pitchFamily="34" charset="0"/>
              <a:ea typeface="Calibri" panose="020F0502020204030204" pitchFamily="34" charset="0"/>
              <a:cs typeface="Times New Roman" panose="02020603050405020304" pitchFamily="18" charset="0"/>
            </a:rPr>
            <a:t>Only Natural England’s operations on the NNR.</a:t>
          </a:r>
        </a:p>
        <a:p>
          <a:pPr marL="342900" lvl="0" indent="-342900">
            <a:lnSpc>
              <a:spcPct val="115000"/>
            </a:lnSpc>
            <a:spcBef>
              <a:spcPts val="300"/>
            </a:spcBef>
            <a:spcAft>
              <a:spcPts val="0"/>
            </a:spcAft>
            <a:buFont typeface="Symbol" panose="05050102010706020507" pitchFamily="18" charset="2"/>
            <a:buChar char=""/>
          </a:pPr>
          <a:r>
            <a:rPr lang="en-GB" sz="1100">
              <a:effectLst/>
              <a:latin typeface="Arial" panose="020B0604020202020204" pitchFamily="34" charset="0"/>
              <a:ea typeface="Calibri" panose="020F0502020204030204" pitchFamily="34" charset="0"/>
              <a:cs typeface="Times New Roman" panose="02020603050405020304" pitchFamily="18" charset="0"/>
            </a:rPr>
            <a:t>Natural England’s operations on the NNR plus its influence on tenants operating on the NNR. Bear in mind how much control Natural England has over the tenants’ operations and the likelihood that it can influence them.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If the assessment includes the operations of tenants, it will require information from the tenants on their operations. These data need to be for the tenants operations only on the NNR. This will involve the tenant providing estimates that are separate from their operations on other sites (in some situations, this may be difficult for a tenant to provide).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following data are needed: </a:t>
          </a:r>
        </a:p>
        <a:p>
          <a:pPr marL="342900" lvl="0" indent="-342900">
            <a:lnSpc>
              <a:spcPct val="115000"/>
            </a:lnSpc>
            <a:spcBef>
              <a:spcPts val="300"/>
            </a:spcBef>
            <a:spcAft>
              <a:spcPts val="0"/>
            </a:spcAft>
            <a:buFont typeface="Symbol" panose="05050102010706020507" pitchFamily="18" charset="2"/>
            <a:buChar char=""/>
          </a:pPr>
          <a:r>
            <a:rPr lang="en-GB" sz="1100">
              <a:effectLst/>
              <a:latin typeface="Arial" panose="020B0604020202020204" pitchFamily="34" charset="0"/>
              <a:ea typeface="Calibri" panose="020F0502020204030204" pitchFamily="34" charset="0"/>
              <a:cs typeface="Times New Roman" panose="02020603050405020304" pitchFamily="18" charset="0"/>
            </a:rPr>
            <a:t>the quantity of environmental goods and services produced by the tenant on the NNR, </a:t>
          </a:r>
        </a:p>
        <a:p>
          <a:pPr marL="342900" lvl="0" indent="-342900">
            <a:lnSpc>
              <a:spcPct val="115000"/>
            </a:lnSpc>
            <a:spcBef>
              <a:spcPts val="300"/>
            </a:spcBef>
            <a:spcAft>
              <a:spcPts val="0"/>
            </a:spcAft>
            <a:buFont typeface="Symbol" panose="05050102010706020507" pitchFamily="18" charset="2"/>
            <a:buChar char=""/>
          </a:pPr>
          <a:r>
            <a:rPr lang="en-GB" sz="1100">
              <a:effectLst/>
              <a:latin typeface="Arial" panose="020B0604020202020204" pitchFamily="34" charset="0"/>
              <a:ea typeface="Calibri" panose="020F0502020204030204" pitchFamily="34" charset="0"/>
              <a:cs typeface="Times New Roman" panose="02020603050405020304" pitchFamily="18" charset="0"/>
            </a:rPr>
            <a:t>revenue for those goods and services,</a:t>
          </a:r>
        </a:p>
        <a:p>
          <a:pPr marL="342900" lvl="0" indent="-342900">
            <a:lnSpc>
              <a:spcPct val="115000"/>
            </a:lnSpc>
            <a:spcBef>
              <a:spcPts val="300"/>
            </a:spcBef>
            <a:spcAft>
              <a:spcPts val="0"/>
            </a:spcAft>
            <a:buFont typeface="Symbol" panose="05050102010706020507" pitchFamily="18" charset="2"/>
            <a:buChar char=""/>
          </a:pPr>
          <a:r>
            <a:rPr lang="en-GB" sz="1100">
              <a:effectLst/>
              <a:latin typeface="Arial" panose="020B0604020202020204" pitchFamily="34" charset="0"/>
              <a:ea typeface="Calibri" panose="020F0502020204030204" pitchFamily="34" charset="0"/>
              <a:cs typeface="Times New Roman" panose="02020603050405020304" pitchFamily="18" charset="0"/>
            </a:rPr>
            <a:t>the costs to the tenant of their production.</a:t>
          </a:r>
        </a:p>
      </xdr:txBody>
    </xdr:sp>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a:extLst>
            <a:ext uri="{FF2B5EF4-FFF2-40B4-BE49-F238E27FC236}">
              <a16:creationId xmlns:a16="http://schemas.microsoft.com/office/drawing/2014/main" xmlns="" id="{00000000-0008-0000-0F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321469</xdr:colOff>
      <xdr:row>0</xdr:row>
      <xdr:rowOff>23813</xdr:rowOff>
    </xdr:from>
    <xdr:ext cx="291601" cy="291600"/>
    <xdr:pic>
      <xdr:nvPicPr>
        <xdr:cNvPr id="5" name="Picture 4">
          <a:hlinkClick xmlns:r="http://schemas.openxmlformats.org/officeDocument/2006/relationships" r:id="rId3"/>
          <a:extLst>
            <a:ext uri="{FF2B5EF4-FFF2-40B4-BE49-F238E27FC236}">
              <a16:creationId xmlns:a16="http://schemas.microsoft.com/office/drawing/2014/main" xmlns="" id="{00000000-0008-0000-0F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469" y="23813"/>
          <a:ext cx="291601" cy="291600"/>
        </a:xfrm>
        <a:prstGeom prst="rect">
          <a:avLst/>
        </a:prstGeom>
      </xdr:spPr>
    </xdr:pic>
    <xdr:clientData/>
  </xdr:oneCellAnchor>
  <xdr:oneCellAnchor>
    <xdr:from>
      <xdr:col>0</xdr:col>
      <xdr:colOff>238125</xdr:colOff>
      <xdr:row>19</xdr:row>
      <xdr:rowOff>142875</xdr:rowOff>
    </xdr:from>
    <xdr:ext cx="291601" cy="291600"/>
    <xdr:pic>
      <xdr:nvPicPr>
        <xdr:cNvPr id="12" name="Picture 11">
          <a:hlinkClick xmlns:r="http://schemas.openxmlformats.org/officeDocument/2006/relationships" r:id="rId3"/>
          <a:extLst>
            <a:ext uri="{FF2B5EF4-FFF2-40B4-BE49-F238E27FC236}">
              <a16:creationId xmlns:a16="http://schemas.microsoft.com/office/drawing/2014/main" xmlns="" id="{00000000-0008-0000-0F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559844"/>
          <a:ext cx="291601" cy="2916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11907</xdr:rowOff>
    </xdr:from>
    <xdr:to>
      <xdr:col>11</xdr:col>
      <xdr:colOff>59530</xdr:colOff>
      <xdr:row>26</xdr:row>
      <xdr:rowOff>0</xdr:rowOff>
    </xdr:to>
    <xdr:sp macro="" textlink="">
      <xdr:nvSpPr>
        <xdr:cNvPr id="2" name="TextBox 1">
          <a:extLst>
            <a:ext uri="{FF2B5EF4-FFF2-40B4-BE49-F238E27FC236}">
              <a16:creationId xmlns:a16="http://schemas.microsoft.com/office/drawing/2014/main" xmlns="" id="{00000000-0008-0000-1000-000002000000}"/>
            </a:ext>
          </a:extLst>
        </xdr:cNvPr>
        <xdr:cNvSpPr txBox="1"/>
      </xdr:nvSpPr>
      <xdr:spPr>
        <a:xfrm>
          <a:off x="0" y="333376"/>
          <a:ext cx="8441530" cy="4750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100" b="1">
              <a:effectLst/>
              <a:latin typeface="Arial"/>
              <a:cs typeface="Times New Roman"/>
            </a:rPr>
            <a:t>How to enter information in the workbook</a:t>
          </a:r>
        </a:p>
        <a:p>
          <a:pPr>
            <a:spcBef>
              <a:spcPts val="600"/>
            </a:spcBef>
            <a:spcAft>
              <a:spcPts val="0"/>
            </a:spcAft>
          </a:pPr>
          <a:r>
            <a:rPr lang="en-GB" sz="1100">
              <a:solidFill>
                <a:srgbClr val="000000"/>
              </a:solidFill>
              <a:effectLst/>
              <a:latin typeface="Arial"/>
              <a:ea typeface="Times New Roman"/>
              <a:cs typeface="Arial"/>
            </a:rPr>
            <a:t>Viewing the sheets:</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Viewed the workbook at 80% zoom.</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To retain row and column headings whilst you scroll, freeze the panes (to see how to do this, go</a:t>
          </a:r>
          <a:r>
            <a:rPr lang="en-GB" sz="1100" baseline="0">
              <a:solidFill>
                <a:srgbClr val="000000"/>
              </a:solidFill>
              <a:effectLst/>
              <a:latin typeface="Arial"/>
              <a:ea typeface="Times New Roman"/>
              <a:cs typeface="Arial"/>
            </a:rPr>
            <a:t> to: https://support.office.com/en-gb/article/freeze-panes-to-lock-rows-and-columns-dab2ffc9-020d-4026-8121-67dd25f2508f)</a:t>
          </a:r>
          <a:r>
            <a:rPr lang="en-GB" sz="1100">
              <a:solidFill>
                <a:srgbClr val="000000"/>
              </a:solidFill>
              <a:effectLst/>
              <a:latin typeface="Arial"/>
              <a:ea typeface="Times New Roman"/>
              <a:cs typeface="Arial"/>
            </a:rPr>
            <a:t>.</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a pop-up box gets in the way, select it and drag it away.</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row height does not automatically expanded, drag the bottom of the row down.</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text does not wrap and you want it to, right click, select Format Cells, select Alignment, check Wrap Text box.</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cell contents appear as ‘###’, you can see the contents at the top of the screen. Ignore other error signs that appear in cells. </a:t>
          </a:r>
          <a:endParaRPr lang="en-GB" sz="11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Entering data:</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Enter data in cells that are white. Leave them blank if there is no information to enter. Generally, you do not need to enter information in cells that are not white.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Unless it is necessary, do not overwrite or delete information that has already been entered in cells that are not white.</a:t>
          </a: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Where there are drop down lists, select the option that best fits the situation. To remove the entry, select the cell and press delete.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Use blank rows if you can rather than inserting rows.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In each sheet, scroll down and across to make sure you enter all the information that is needed. </a:t>
          </a:r>
          <a:endParaRPr lang="en-GB" sz="1100">
            <a:effectLst/>
            <a:latin typeface="Arial"/>
            <a:ea typeface="Calibri"/>
            <a:cs typeface="Times New Roman"/>
          </a:endParaRPr>
        </a:p>
        <a:p>
          <a:pPr marL="228600">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a:extLst>
            <a:ext uri="{FF2B5EF4-FFF2-40B4-BE49-F238E27FC236}">
              <a16:creationId xmlns:a16="http://schemas.microsoft.com/office/drawing/2014/main" xmlns=""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a:extLst>
            <a:ext uri="{FF2B5EF4-FFF2-40B4-BE49-F238E27FC236}">
              <a16:creationId xmlns:a16="http://schemas.microsoft.com/office/drawing/2014/main" xmlns="" id="{00000000-0008-0000-1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26</xdr:row>
      <xdr:rowOff>35719</xdr:rowOff>
    </xdr:from>
    <xdr:ext cx="291601" cy="291600"/>
    <xdr:pic>
      <xdr:nvPicPr>
        <xdr:cNvPr id="5" name="Picture 4">
          <a:hlinkClick xmlns:r="http://schemas.openxmlformats.org/officeDocument/2006/relationships" r:id="rId1"/>
          <a:extLst>
            <a:ext uri="{FF2B5EF4-FFF2-40B4-BE49-F238E27FC236}">
              <a16:creationId xmlns:a16="http://schemas.microsoft.com/office/drawing/2014/main" xmlns="" id="{00000000-0008-0000-1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26</xdr:row>
      <xdr:rowOff>35719</xdr:rowOff>
    </xdr:from>
    <xdr:ext cx="291601" cy="291600"/>
    <xdr:pic>
      <xdr:nvPicPr>
        <xdr:cNvPr id="6" name="Picture 5">
          <a:hlinkClick xmlns:r="http://schemas.openxmlformats.org/officeDocument/2006/relationships" r:id="rId4"/>
          <a:extLst>
            <a:ext uri="{FF2B5EF4-FFF2-40B4-BE49-F238E27FC236}">
              <a16:creationId xmlns:a16="http://schemas.microsoft.com/office/drawing/2014/main" xmlns="" id="{00000000-0008-0000-1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26</xdr:row>
      <xdr:rowOff>35719</xdr:rowOff>
    </xdr:from>
    <xdr:ext cx="291601" cy="291600"/>
    <xdr:pic>
      <xdr:nvPicPr>
        <xdr:cNvPr id="8199" name="Picture 8198">
          <a:hlinkClick xmlns:r="http://schemas.openxmlformats.org/officeDocument/2006/relationships" r:id="rId1"/>
          <a:extLst>
            <a:ext uri="{FF2B5EF4-FFF2-40B4-BE49-F238E27FC236}">
              <a16:creationId xmlns:a16="http://schemas.microsoft.com/office/drawing/2014/main" xmlns="" id="{00000000-0008-0000-1000-0000072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26</xdr:row>
      <xdr:rowOff>35719</xdr:rowOff>
    </xdr:from>
    <xdr:ext cx="291601" cy="291600"/>
    <xdr:pic>
      <xdr:nvPicPr>
        <xdr:cNvPr id="8200" name="Picture 8199">
          <a:hlinkClick xmlns:r="http://schemas.openxmlformats.org/officeDocument/2006/relationships" r:id="rId5"/>
          <a:extLst>
            <a:ext uri="{FF2B5EF4-FFF2-40B4-BE49-F238E27FC236}">
              <a16:creationId xmlns:a16="http://schemas.microsoft.com/office/drawing/2014/main" xmlns="" id="{00000000-0008-0000-1000-0000082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26</xdr:row>
      <xdr:rowOff>35719</xdr:rowOff>
    </xdr:from>
    <xdr:ext cx="291601" cy="291600"/>
    <xdr:pic>
      <xdr:nvPicPr>
        <xdr:cNvPr id="9" name="Picture 8">
          <a:hlinkClick xmlns:r="http://schemas.openxmlformats.org/officeDocument/2006/relationships" r:id="rId1"/>
          <a:extLst>
            <a:ext uri="{FF2B5EF4-FFF2-40B4-BE49-F238E27FC236}">
              <a16:creationId xmlns:a16="http://schemas.microsoft.com/office/drawing/2014/main" xmlns="" id="{00000000-0008-0000-1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26</xdr:row>
      <xdr:rowOff>35719</xdr:rowOff>
    </xdr:from>
    <xdr:ext cx="291601" cy="291600"/>
    <xdr:pic>
      <xdr:nvPicPr>
        <xdr:cNvPr id="10" name="Picture 9">
          <a:hlinkClick xmlns:r="http://schemas.openxmlformats.org/officeDocument/2006/relationships" r:id="rId3"/>
          <a:extLst>
            <a:ext uri="{FF2B5EF4-FFF2-40B4-BE49-F238E27FC236}">
              <a16:creationId xmlns:a16="http://schemas.microsoft.com/office/drawing/2014/main" xmlns="" id="{00000000-0008-0000-1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5441157"/>
          <a:ext cx="291601" cy="2916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xdr:colOff>
      <xdr:row>1</xdr:row>
      <xdr:rowOff>19044</xdr:rowOff>
    </xdr:from>
    <xdr:to>
      <xdr:col>11</xdr:col>
      <xdr:colOff>95250</xdr:colOff>
      <xdr:row>36</xdr:row>
      <xdr:rowOff>178593</xdr:rowOff>
    </xdr:to>
    <xdr:sp macro="" textlink="">
      <xdr:nvSpPr>
        <xdr:cNvPr id="2" name="TextBox 1">
          <a:extLst>
            <a:ext uri="{FF2B5EF4-FFF2-40B4-BE49-F238E27FC236}">
              <a16:creationId xmlns:a16="http://schemas.microsoft.com/office/drawing/2014/main" xmlns="" id="{00000000-0008-0000-1100-000002000000}"/>
            </a:ext>
          </a:extLst>
        </xdr:cNvPr>
        <xdr:cNvSpPr txBox="1"/>
      </xdr:nvSpPr>
      <xdr:spPr>
        <a:xfrm>
          <a:off x="1" y="340513"/>
          <a:ext cx="8477249" cy="6827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lnSpc>
              <a:spcPct val="115000"/>
            </a:lnSpc>
            <a:spcBef>
              <a:spcPts val="1200"/>
            </a:spcBef>
            <a:spcAft>
              <a:spcPts val="600"/>
            </a:spcAft>
          </a:pPr>
          <a:r>
            <a:rPr lang="en-GB" sz="1100" b="1">
              <a:effectLst/>
              <a:latin typeface="Arial" panose="020B0604020202020204" pitchFamily="34" charset="0"/>
              <a:ea typeface="Calibri" panose="020F0502020204030204" pitchFamily="34" charset="0"/>
              <a:cs typeface="Times New Roman" panose="02020603050405020304" pitchFamily="18" charset="0"/>
            </a:rPr>
            <a:t>How to complete the G &amp; S (Environmental Goods &amp; Services) sheet:</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Start by reading the first two columns. They describe what the environment might provide that is of benefit to people (also known as ecosystem services). Click on the ‘level of provision’ cell for further information.</a:t>
          </a: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Then, identify the environmental goods and services that are currently delivered by the NNR. Include any t</a:t>
          </a:r>
          <a:r>
            <a:rPr lang="en-GB" sz="1100" baseline="0">
              <a:effectLst/>
              <a:latin typeface="Arial" panose="020B0604020202020204" pitchFamily="34" charset="0"/>
              <a:ea typeface="Calibri" panose="020F0502020204030204" pitchFamily="34" charset="0"/>
              <a:cs typeface="Times New Roman" panose="02020603050405020304" pitchFamily="18" charset="0"/>
            </a:rPr>
            <a:t>hat will be delivered with pursuit of the goal that is being used for the assessment. </a:t>
          </a:r>
          <a:r>
            <a:rPr lang="en-GB" sz="1100">
              <a:effectLst/>
              <a:latin typeface="Arial" panose="020B0604020202020204" pitchFamily="34" charset="0"/>
              <a:ea typeface="Calibri" panose="020F0502020204030204" pitchFamily="34" charset="0"/>
              <a:cs typeface="Times New Roman" panose="02020603050405020304" pitchFamily="18" charset="0"/>
            </a:rPr>
            <a:t>Specify the level of provision using the drop down list (categories described at the top of the worksheet) and provide a brief description. The level identifies the main goods and services that provided by the NNR relative to the other goods and services the NNR delivers. This is used to identify which goods and services to focus the economic assessment on.</a:t>
          </a: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Specify who benefits from the ecosystem service if it is specific individuals and not obvious.</a:t>
          </a: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Focus on the goods and services that are definitely provided by the NNR and try to complete the sheet fairly swiftly.  It is fine to leave cells blank. Resist the temptation to think of something that you can enter into every row. </a:t>
          </a: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If the assessment is </a:t>
          </a:r>
          <a:r>
            <a:rPr lang="en-GB" sz="1100" b="1">
              <a:effectLst/>
              <a:latin typeface="Arial" panose="020B0604020202020204" pitchFamily="34" charset="0"/>
              <a:ea typeface="Calibri" panose="020F0502020204030204" pitchFamily="34" charset="0"/>
              <a:cs typeface="Times New Roman" panose="02020603050405020304" pitchFamily="18" charset="0"/>
            </a:rPr>
            <a:t>not</a:t>
          </a:r>
          <a:r>
            <a:rPr lang="en-GB" sz="1100">
              <a:effectLst/>
              <a:latin typeface="Arial" panose="020B0604020202020204" pitchFamily="34" charset="0"/>
              <a:ea typeface="Calibri" panose="020F0502020204030204" pitchFamily="34" charset="0"/>
              <a:cs typeface="Times New Roman" panose="02020603050405020304" pitchFamily="18" charset="0"/>
            </a:rPr>
            <a:t> including the activities of tenants on the NNR, focus on goods and services that are delivered by Natural England's management of the NNR. For example, if land that is grazed is leased, enter this under ‘Materials for agricultural use’, not reared animals. </a:t>
          </a: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situation is different if the assessment </a:t>
          </a:r>
          <a:r>
            <a:rPr lang="en-GB" sz="1100" b="1">
              <a:effectLst/>
              <a:latin typeface="Arial" panose="020B0604020202020204" pitchFamily="34" charset="0"/>
              <a:ea typeface="Calibri" panose="020F0502020204030204" pitchFamily="34" charset="0"/>
              <a:cs typeface="Times New Roman" panose="02020603050405020304" pitchFamily="18" charset="0"/>
            </a:rPr>
            <a:t>does</a:t>
          </a:r>
          <a:r>
            <a:rPr lang="en-GB" sz="1100">
              <a:effectLst/>
              <a:latin typeface="Arial" panose="020B0604020202020204" pitchFamily="34" charset="0"/>
              <a:ea typeface="Calibri" panose="020F0502020204030204" pitchFamily="34" charset="0"/>
              <a:cs typeface="Times New Roman" panose="02020603050405020304" pitchFamily="18" charset="0"/>
            </a:rPr>
            <a:t> include the operations of tenants. For the areas of the NNR that are leased by the tenant, include the goods and services produced by the tenant (such as reared animals) but not the goods and services (such as materials for agricultural use) provided by Natural England that are inputs to the tenant's production. This will help prevent double counting in the assessment. In the description, specify that the good or service is produced by a tenant.</a:t>
          </a: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categories are based on the Common International Classification of Ecosystem Services (CICES 2013), which is recommended for use in accounting.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References: </a:t>
          </a:r>
        </a:p>
        <a:p>
          <a:pPr>
            <a:lnSpc>
              <a:spcPct val="115000"/>
            </a:lnSpc>
            <a:spcBef>
              <a:spcPts val="6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CICES. 2013. Version 4-3. URL: </a:t>
          </a:r>
          <a:r>
            <a:rPr lang="en-GB" sz="1100" u="sng">
              <a:effectLst/>
              <a:latin typeface="Arial" panose="020B0604020202020204" pitchFamily="34" charset="0"/>
              <a:ea typeface="Calibri" panose="020F0502020204030204" pitchFamily="34" charset="0"/>
              <a:cs typeface="Times New Roman" panose="02020603050405020304" pitchFamily="18" charset="0"/>
            </a:rPr>
            <a:t>https://cices.eu/</a:t>
          </a:r>
          <a:r>
            <a:rPr lang="en-GB" sz="1100">
              <a:effectLst/>
              <a:latin typeface="Arial" panose="020B0604020202020204" pitchFamily="34" charset="0"/>
              <a:ea typeface="Calibri" panose="020F0502020204030204" pitchFamily="34" charset="0"/>
              <a:cs typeface="Times New Roman" panose="02020603050405020304" pitchFamily="18" charset="0"/>
            </a:rPr>
            <a:t> [Accessed 14 September 2017].</a:t>
          </a:r>
        </a:p>
      </xdr:txBody>
    </xdr:sp>
    <xdr:clientData/>
  </xdr:twoCellAnchor>
  <xdr:twoCellAnchor editAs="oneCell">
    <xdr:from>
      <xdr:col>0</xdr:col>
      <xdr:colOff>333375</xdr:colOff>
      <xdr:row>0</xdr:row>
      <xdr:rowOff>35719</xdr:rowOff>
    </xdr:from>
    <xdr:to>
      <xdr:col>0</xdr:col>
      <xdr:colOff>624976</xdr:colOff>
      <xdr:row>1</xdr:row>
      <xdr:rowOff>5850</xdr:rowOff>
    </xdr:to>
    <xdr:pic>
      <xdr:nvPicPr>
        <xdr:cNvPr id="3" name="Picture 2">
          <a:hlinkClick xmlns:r="http://schemas.openxmlformats.org/officeDocument/2006/relationships" r:id="rId1"/>
          <a:extLst>
            <a:ext uri="{FF2B5EF4-FFF2-40B4-BE49-F238E27FC236}">
              <a16:creationId xmlns:a16="http://schemas.microsoft.com/office/drawing/2014/main" xmlns=""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37</xdr:row>
      <xdr:rowOff>35719</xdr:rowOff>
    </xdr:from>
    <xdr:ext cx="291601" cy="291600"/>
    <xdr:pic>
      <xdr:nvPicPr>
        <xdr:cNvPr id="5" name="Picture 4">
          <a:hlinkClick xmlns:r="http://schemas.openxmlformats.org/officeDocument/2006/relationships" r:id="rId3"/>
          <a:extLst>
            <a:ext uri="{FF2B5EF4-FFF2-40B4-BE49-F238E27FC236}">
              <a16:creationId xmlns:a16="http://schemas.microsoft.com/office/drawing/2014/main" xmlns="" id="{00000000-0008-0000-1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37</xdr:row>
      <xdr:rowOff>35719</xdr:rowOff>
    </xdr:from>
    <xdr:ext cx="291601" cy="291600"/>
    <xdr:pic>
      <xdr:nvPicPr>
        <xdr:cNvPr id="6" name="Picture 5">
          <a:hlinkClick xmlns:r="http://schemas.openxmlformats.org/officeDocument/2006/relationships" r:id="rId4"/>
          <a:extLst>
            <a:ext uri="{FF2B5EF4-FFF2-40B4-BE49-F238E27FC236}">
              <a16:creationId xmlns:a16="http://schemas.microsoft.com/office/drawing/2014/main" xmlns="" id="{00000000-0008-0000-1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37</xdr:row>
      <xdr:rowOff>35719</xdr:rowOff>
    </xdr:from>
    <xdr:ext cx="291601" cy="291600"/>
    <xdr:pic>
      <xdr:nvPicPr>
        <xdr:cNvPr id="7" name="Picture 6">
          <a:hlinkClick xmlns:r="http://schemas.openxmlformats.org/officeDocument/2006/relationships" r:id="rId1"/>
          <a:extLst>
            <a:ext uri="{FF2B5EF4-FFF2-40B4-BE49-F238E27FC236}">
              <a16:creationId xmlns:a16="http://schemas.microsoft.com/office/drawing/2014/main" xmlns="" id="{00000000-0008-0000-1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309560</xdr:rowOff>
    </xdr:from>
    <xdr:to>
      <xdr:col>11</xdr:col>
      <xdr:colOff>35718</xdr:colOff>
      <xdr:row>50</xdr:row>
      <xdr:rowOff>23812</xdr:rowOff>
    </xdr:to>
    <xdr:sp macro="" textlink="">
      <xdr:nvSpPr>
        <xdr:cNvPr id="2" name="TextBox 1">
          <a:extLst>
            <a:ext uri="{FF2B5EF4-FFF2-40B4-BE49-F238E27FC236}">
              <a16:creationId xmlns:a16="http://schemas.microsoft.com/office/drawing/2014/main" xmlns="" id="{00000000-0008-0000-1200-000002000000}"/>
            </a:ext>
          </a:extLst>
        </xdr:cNvPr>
        <xdr:cNvSpPr txBox="1"/>
      </xdr:nvSpPr>
      <xdr:spPr>
        <a:xfrm>
          <a:off x="0" y="309560"/>
          <a:ext cx="8417718" cy="9501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lnSpc>
              <a:spcPct val="115000"/>
            </a:lnSpc>
            <a:spcBef>
              <a:spcPts val="1200"/>
            </a:spcBef>
            <a:spcAft>
              <a:spcPts val="600"/>
            </a:spcAft>
          </a:pPr>
          <a:r>
            <a:rPr lang="en-GB" sz="1100" b="1">
              <a:effectLst/>
              <a:latin typeface="Arial" panose="020B0604020202020204" pitchFamily="34" charset="0"/>
              <a:ea typeface="Calibri" panose="020F0502020204030204" pitchFamily="34" charset="0"/>
              <a:cs typeface="Times New Roman" panose="02020603050405020304" pitchFamily="18" charset="0"/>
            </a:rPr>
            <a:t>How to complete the G &amp; S Initial</a:t>
          </a:r>
          <a:r>
            <a:rPr lang="en-GB" sz="1100" b="1" baseline="0">
              <a:effectLst/>
              <a:latin typeface="Arial" panose="020B0604020202020204" pitchFamily="34" charset="0"/>
              <a:ea typeface="Calibri" panose="020F0502020204030204" pitchFamily="34" charset="0"/>
              <a:cs typeface="Times New Roman" panose="02020603050405020304" pitchFamily="18" charset="0"/>
            </a:rPr>
            <a:t> </a:t>
          </a:r>
          <a:r>
            <a:rPr lang="en-GB" sz="1100" b="1">
              <a:effectLst/>
              <a:latin typeface="Arial" panose="020B0604020202020204" pitchFamily="34" charset="0"/>
              <a:ea typeface="Calibri" panose="020F0502020204030204" pitchFamily="34" charset="0"/>
              <a:cs typeface="Times New Roman" panose="02020603050405020304" pitchFamily="18" charset="0"/>
            </a:rPr>
            <a:t>sheet:</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1200"/>
            </a:spcBef>
            <a:spcAft>
              <a:spcPts val="600"/>
            </a:spcAft>
          </a:pPr>
          <a:r>
            <a:rPr lang="en-GB" sz="1100" u="sng">
              <a:effectLst/>
              <a:latin typeface="Arial" panose="020B0604020202020204" pitchFamily="34" charset="0"/>
              <a:ea typeface="Calibri" panose="020F0502020204030204" pitchFamily="34" charset="0"/>
              <a:cs typeface="Times New Roman" panose="02020603050405020304" pitchFamily="18" charset="0"/>
            </a:rPr>
            <a:t>Identifying goods and services that can be quantified</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Focus on the main goods and services delivered by the NNR (which you identified in the G &amp; S sheet). Identify those you can quantify now. Use your own succinct clear description of each good or service (it will automatically appear in later sheets).</a:t>
          </a:r>
        </a:p>
        <a:p>
          <a:pPr>
            <a:lnSpc>
              <a:spcPct val="115000"/>
            </a:lnSpc>
            <a:spcBef>
              <a:spcPts val="1200"/>
            </a:spcBef>
            <a:spcAft>
              <a:spcPts val="600"/>
            </a:spcAft>
          </a:pPr>
          <a:r>
            <a:rPr lang="en-GB" sz="1100" i="1">
              <a:effectLst/>
              <a:latin typeface="Arial" panose="020B0604020202020204" pitchFamily="34" charset="0"/>
              <a:ea typeface="Calibri" panose="020F0502020204030204" pitchFamily="34" charset="0"/>
              <a:cs typeface="Times New Roman" panose="02020603050405020304" pitchFamily="18" charset="0"/>
            </a:rPr>
            <a:t>(Tip: to open the G &amp; S sheet in a separate window, c</a:t>
          </a:r>
          <a:r>
            <a:rPr lang="en-US" sz="1100" i="1">
              <a:effectLst/>
              <a:latin typeface="Arial" panose="020B0604020202020204" pitchFamily="34" charset="0"/>
              <a:ea typeface="Calibri" panose="020F0502020204030204" pitchFamily="34" charset="0"/>
              <a:cs typeface="Times New Roman" panose="02020603050405020304" pitchFamily="18" charset="0"/>
            </a:rPr>
            <a:t>lick the View tab on the ribbon, in the Window section select New Window, select Arrange All, then horizontal. In one of the new windows, select the G &amp; S sheet).</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1200"/>
            </a:spcBef>
            <a:spcAft>
              <a:spcPts val="600"/>
            </a:spcAft>
          </a:pPr>
          <a:r>
            <a:rPr lang="en-GB" sz="1100" u="sng">
              <a:effectLst/>
              <a:latin typeface="Arial" panose="020B0604020202020204" pitchFamily="34" charset="0"/>
              <a:ea typeface="Calibri" panose="020F0502020204030204" pitchFamily="34" charset="0"/>
              <a:cs typeface="Times New Roman" panose="02020603050405020304" pitchFamily="18" charset="0"/>
            </a:rPr>
            <a:t>Completing the sheet</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Enter a clear brief description of the good or service. If both NE and others benefit from a good or service (e.g. NE and tenants graze livestock on different parts of the NNR), use a separate row for each.</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For the cultural services, some categories that have already been listed in the first column (in cells shaded mauve). If any of these categories are main categories delivered by the NNR, enter data in the white cells. If they are not a main service, leave the white cells blank. It is important that data are entered for numbers of visits not numbers of groups that are visiting. Add any further cultural services in the rows of white cells at the bottom.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For each good or service, enter the quantity of the good or service delivered per year for the first year that is being used for the account (which is recorded on the Focus sheet). If the quantities differ significantly between years (e.g. because trees are felled once every three years) or are likely to change significantly in future, enter Yes in the final cell in the row and click on the link at the end of the row.  This will take you to the G &amp; S Projections sheet. Enter estimates of the quantity in future years (over the next 20 years). Then click the link at the top of the sheet</a:t>
          </a:r>
          <a:r>
            <a:rPr lang="en-GB" sz="1100" baseline="0">
              <a:effectLst/>
              <a:latin typeface="Arial" panose="020B0604020202020204" pitchFamily="34" charset="0"/>
              <a:ea typeface="Calibri" panose="020F0502020204030204" pitchFamily="34" charset="0"/>
              <a:cs typeface="Times New Roman" panose="02020603050405020304" pitchFamily="18" charset="0"/>
            </a:rPr>
            <a:t> to take you back to G &amp; S Initial.</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If the NNR is paid for any cultural services listed in the mauve cells (e.g. for school visits), enter information on this in a row of white cells at the bottom (describing the service and explaining that the NNR is paid for it). If some customers do not pay for the service, enter information on that in the relevant column shaded mauve. </a:t>
          </a:r>
        </a:p>
        <a:p>
          <a:pPr>
            <a:lnSpc>
              <a:spcPct val="115000"/>
            </a:lnSpc>
            <a:spcBef>
              <a:spcPts val="1200"/>
            </a:spcBef>
            <a:spcAft>
              <a:spcPts val="0"/>
            </a:spcAft>
          </a:pPr>
          <a:r>
            <a:rPr lang="en-GB" sz="1100" baseline="0">
              <a:effectLst/>
              <a:latin typeface="Arial" panose="020B0604020202020204" pitchFamily="34" charset="0"/>
              <a:ea typeface="Calibri" panose="020F0502020204030204" pitchFamily="34" charset="0"/>
              <a:cs typeface="Times New Roman" panose="02020603050405020304" pitchFamily="18" charset="0"/>
            </a:rPr>
            <a:t>If you wish, you can quantify the scientific (research) service, by recording the number of research projects. This heading can include citizen science and the long term monitoring network as well as other research projects.</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For each good</a:t>
          </a:r>
          <a:r>
            <a:rPr lang="en-GB" sz="1100" baseline="0">
              <a:effectLst/>
              <a:latin typeface="Arial" panose="020B0604020202020204" pitchFamily="34" charset="0"/>
              <a:ea typeface="Calibri" panose="020F0502020204030204" pitchFamily="34" charset="0"/>
              <a:cs typeface="Times New Roman" panose="02020603050405020304" pitchFamily="18" charset="0"/>
            </a:rPr>
            <a:t> or service, s</a:t>
          </a:r>
          <a:r>
            <a:rPr lang="en-GB" sz="1100">
              <a:effectLst/>
              <a:latin typeface="Arial" panose="020B0604020202020204" pitchFamily="34" charset="0"/>
              <a:ea typeface="Calibri" panose="020F0502020204030204" pitchFamily="34" charset="0"/>
              <a:cs typeface="Times New Roman" panose="02020603050405020304" pitchFamily="18" charset="0"/>
            </a:rPr>
            <a:t>pecify the unit of measurement.  Make a note of the source of the information and any assumptions you have made. Indicate whether the quantity is likely to remain at approximately this level over the next twenty years. If it is likely to change significantly, click on the link at the end of the row and enter estimates of the quantity in future years.</a:t>
          </a:r>
        </a:p>
        <a:p>
          <a:pPr>
            <a:lnSpc>
              <a:spcPct val="115000"/>
            </a:lnSpc>
            <a:spcBef>
              <a:spcPts val="1200"/>
            </a:spcBef>
            <a:spcAft>
              <a:spcPts val="0"/>
            </a:spcAft>
          </a:pPr>
          <a:r>
            <a:rPr lang="en-GB" sz="1100" u="sng">
              <a:effectLst/>
              <a:latin typeface="Arial" panose="020B0604020202020204" pitchFamily="34" charset="0"/>
              <a:ea typeface="Calibri" panose="020F0502020204030204" pitchFamily="34" charset="0"/>
              <a:cs typeface="Times New Roman" panose="02020603050405020304" pitchFamily="18" charset="0"/>
            </a:rPr>
            <a:t>Focus: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If the assessment focusses on the operations of Natural England (this is recorded on the Focus sheet), focus on what the Natural England's management of the NNR is delivering.  For example, land rented out for grazing and/or cutting hay is quantified as the area of land let (this is because the tenant, not Natural England, is producing the livestock).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If the assessment also includes the operations of tenants, for the areas let to tenants, include the goods and services produced by the tenant from that land (such as the number of livestock produced). The quantity should be for the operations of the tenant only on the land they lease on the NNR (not operations elsewhere as well). Goods and services that are produced by Natural England but are inputs to the operations of the tenant (such as land for grazing) should not be included (otherwise the goods and services will be counted twice and over-estimated).  </a:t>
          </a: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 </a:t>
          </a: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a:extLst>
            <a:ext uri="{FF2B5EF4-FFF2-40B4-BE49-F238E27FC236}">
              <a16:creationId xmlns:a16="http://schemas.microsoft.com/office/drawing/2014/main" xmlns=""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a:extLst>
            <a:ext uri="{FF2B5EF4-FFF2-40B4-BE49-F238E27FC236}">
              <a16:creationId xmlns:a16="http://schemas.microsoft.com/office/drawing/2014/main" xmlns="" id="{00000000-0008-0000-1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50</xdr:row>
      <xdr:rowOff>35719</xdr:rowOff>
    </xdr:from>
    <xdr:ext cx="291601" cy="291600"/>
    <xdr:pic>
      <xdr:nvPicPr>
        <xdr:cNvPr id="5" name="Picture 4">
          <a:hlinkClick xmlns:r="http://schemas.openxmlformats.org/officeDocument/2006/relationships" r:id="rId1"/>
          <a:extLst>
            <a:ext uri="{FF2B5EF4-FFF2-40B4-BE49-F238E27FC236}">
              <a16:creationId xmlns:a16="http://schemas.microsoft.com/office/drawing/2014/main" xmlns="" id="{00000000-0008-0000-1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50</xdr:row>
      <xdr:rowOff>35719</xdr:rowOff>
    </xdr:from>
    <xdr:ext cx="291601" cy="291600"/>
    <xdr:pic>
      <xdr:nvPicPr>
        <xdr:cNvPr id="6" name="Picture 5">
          <a:hlinkClick xmlns:r="http://schemas.openxmlformats.org/officeDocument/2006/relationships" r:id="rId4"/>
          <a:extLst>
            <a:ext uri="{FF2B5EF4-FFF2-40B4-BE49-F238E27FC236}">
              <a16:creationId xmlns:a16="http://schemas.microsoft.com/office/drawing/2014/main" xmlns="" id="{00000000-0008-0000-1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9822657"/>
          <a:ext cx="291601" cy="291600"/>
        </a:xfrm>
        <a:prstGeom prst="rect">
          <a:avLst/>
        </a:prstGeom>
      </xdr:spPr>
    </xdr:pic>
    <xdr:clientData/>
  </xdr:oneCellAnchor>
  <xdr:oneCellAnchor>
    <xdr:from>
      <xdr:col>0</xdr:col>
      <xdr:colOff>333375</xdr:colOff>
      <xdr:row>50</xdr:row>
      <xdr:rowOff>35719</xdr:rowOff>
    </xdr:from>
    <xdr:ext cx="291601" cy="291600"/>
    <xdr:pic>
      <xdr:nvPicPr>
        <xdr:cNvPr id="7" name="Picture 6">
          <a:hlinkClick xmlns:r="http://schemas.openxmlformats.org/officeDocument/2006/relationships" r:id="rId1"/>
          <a:extLst>
            <a:ext uri="{FF2B5EF4-FFF2-40B4-BE49-F238E27FC236}">
              <a16:creationId xmlns:a16="http://schemas.microsoft.com/office/drawing/2014/main" xmlns="" id="{00000000-0008-0000-1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50</xdr:row>
      <xdr:rowOff>35719</xdr:rowOff>
    </xdr:from>
    <xdr:ext cx="291601" cy="291600"/>
    <xdr:pic>
      <xdr:nvPicPr>
        <xdr:cNvPr id="8" name="Picture 7">
          <a:hlinkClick xmlns:r="http://schemas.openxmlformats.org/officeDocument/2006/relationships" r:id="rId3"/>
          <a:extLst>
            <a:ext uri="{FF2B5EF4-FFF2-40B4-BE49-F238E27FC236}">
              <a16:creationId xmlns:a16="http://schemas.microsoft.com/office/drawing/2014/main" xmlns="" id="{00000000-0008-0000-1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9822657"/>
          <a:ext cx="291601" cy="2916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9526</xdr:rowOff>
    </xdr:from>
    <xdr:to>
      <xdr:col>11</xdr:col>
      <xdr:colOff>59531</xdr:colOff>
      <xdr:row>18</xdr:row>
      <xdr:rowOff>0</xdr:rowOff>
    </xdr:to>
    <xdr:sp macro="" textlink="">
      <xdr:nvSpPr>
        <xdr:cNvPr id="2" name="TextBox 1">
          <a:extLst>
            <a:ext uri="{FF2B5EF4-FFF2-40B4-BE49-F238E27FC236}">
              <a16:creationId xmlns:a16="http://schemas.microsoft.com/office/drawing/2014/main" xmlns="" id="{00000000-0008-0000-1300-000002000000}"/>
            </a:ext>
          </a:extLst>
        </xdr:cNvPr>
        <xdr:cNvSpPr txBox="1"/>
      </xdr:nvSpPr>
      <xdr:spPr>
        <a:xfrm>
          <a:off x="0" y="330995"/>
          <a:ext cx="8441531" cy="3264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200" b="1">
              <a:effectLst/>
              <a:latin typeface="Arial"/>
              <a:cs typeface="Times New Roman"/>
            </a:rPr>
            <a:t>Quantity of asset indicators</a:t>
          </a:r>
        </a:p>
        <a:p>
          <a:pPr>
            <a:spcBef>
              <a:spcPts val="600"/>
            </a:spcBef>
            <a:spcAft>
              <a:spcPts val="0"/>
            </a:spcAft>
          </a:pPr>
          <a:r>
            <a:rPr lang="en-GB" sz="1100">
              <a:effectLst/>
              <a:latin typeface="Arial"/>
              <a:ea typeface="Calibri"/>
              <a:cs typeface="Times New Roman"/>
            </a:rPr>
            <a:t>Identify indicators that summarise the quantity of environmental assets in the NNR. These could include:</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area of the NNR,</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area of each broadscale habitat,</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length of linear features that are critical to the NNR (such as length of hedgerows or ditches)</a:t>
          </a:r>
          <a:endParaRPr lang="en-GB" sz="1200">
            <a:effectLst/>
            <a:latin typeface="Arial"/>
            <a:ea typeface="Calibri"/>
            <a:cs typeface="Times New Roman"/>
          </a:endParaRPr>
        </a:p>
        <a:p>
          <a:pPr>
            <a:spcBef>
              <a:spcPts val="300"/>
            </a:spcBef>
            <a:spcAft>
              <a:spcPts val="0"/>
            </a:spcAft>
          </a:pPr>
          <a:r>
            <a:rPr lang="en-GB" sz="1100">
              <a:effectLst/>
              <a:latin typeface="Arial"/>
              <a:ea typeface="Calibri"/>
              <a:cs typeface="Times New Roman"/>
            </a:rPr>
            <a:t>Only include those that are essential and that you can easily access data for.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For each indicator: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specify why it is useful to include (as a check that you need to include it), its unit of measurement and where the information came from.</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Enter the level for the year(s)</a:t>
          </a:r>
          <a:r>
            <a:rPr lang="en-GB" sz="1100" baseline="0">
              <a:effectLst/>
              <a:latin typeface="Arial"/>
              <a:ea typeface="Calibri"/>
              <a:cs typeface="Times New Roman"/>
            </a:rPr>
            <a:t> that you are employing for the assessment (recorded in the Focus sheet). If they are for other years, specify which years and the reason why these have been used under the assumptions.</a:t>
          </a:r>
          <a:r>
            <a:rPr lang="en-GB" sz="1100">
              <a:effectLst/>
              <a:latin typeface="Arial"/>
              <a:ea typeface="Calibri"/>
              <a:cs typeface="Times New Roman"/>
            </a:rPr>
            <a:t> </a:t>
          </a:r>
        </a:p>
        <a:p>
          <a:pPr>
            <a:spcAft>
              <a:spcPts val="0"/>
            </a:spcAft>
          </a:pPr>
          <a:endParaRPr lang="en-GB" sz="1100">
            <a:effectLst/>
            <a:latin typeface="Arial"/>
            <a:ea typeface="Calibri"/>
            <a:cs typeface="Times New Roman"/>
          </a:endParaRPr>
        </a:p>
        <a:p>
          <a:pPr>
            <a:spcAft>
              <a:spcPts val="0"/>
            </a:spcAft>
          </a:pPr>
          <a:r>
            <a:rPr lang="en-GB" sz="1100">
              <a:effectLst/>
              <a:latin typeface="Arial"/>
              <a:ea typeface="Calibri"/>
              <a:cs typeface="Times New Roman"/>
            </a:rPr>
            <a:t>Make a note of any assumptions that you have made.</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a:extLst>
            <a:ext uri="{FF2B5EF4-FFF2-40B4-BE49-F238E27FC236}">
              <a16:creationId xmlns:a16="http://schemas.microsoft.com/office/drawing/2014/main" xmlns="" id="{00000000-0008-0000-1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5122069"/>
          <a:ext cx="291601" cy="291600"/>
        </a:xfrm>
        <a:prstGeom prst="rect">
          <a:avLst/>
        </a:prstGeom>
      </xdr:spPr>
    </xdr:pic>
    <xdr:clientData/>
  </xdr:oneCellAnchor>
  <xdr:oneCellAnchor>
    <xdr:from>
      <xdr:col>0</xdr:col>
      <xdr:colOff>333375</xdr:colOff>
      <xdr:row>0</xdr:row>
      <xdr:rowOff>35719</xdr:rowOff>
    </xdr:from>
    <xdr:ext cx="291601" cy="291600"/>
    <xdr:pic>
      <xdr:nvPicPr>
        <xdr:cNvPr id="5" name="Picture 4">
          <a:hlinkClick xmlns:r="http://schemas.openxmlformats.org/officeDocument/2006/relationships" r:id="rId3"/>
          <a:extLst>
            <a:ext uri="{FF2B5EF4-FFF2-40B4-BE49-F238E27FC236}">
              <a16:creationId xmlns:a16="http://schemas.microsoft.com/office/drawing/2014/main" xmlns="" id="{00000000-0008-0000-1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5122069"/>
          <a:ext cx="291601" cy="291600"/>
        </a:xfrm>
        <a:prstGeom prst="rect">
          <a:avLst/>
        </a:prstGeom>
      </xdr:spPr>
    </xdr:pic>
    <xdr:clientData/>
  </xdr:oneCellAnchor>
  <xdr:oneCellAnchor>
    <xdr:from>
      <xdr:col>0</xdr:col>
      <xdr:colOff>333375</xdr:colOff>
      <xdr:row>18</xdr:row>
      <xdr:rowOff>35719</xdr:rowOff>
    </xdr:from>
    <xdr:ext cx="291601" cy="291600"/>
    <xdr:pic>
      <xdr:nvPicPr>
        <xdr:cNvPr id="6" name="Picture 5">
          <a:hlinkClick xmlns:r="http://schemas.openxmlformats.org/officeDocument/2006/relationships" r:id="rId1"/>
          <a:extLst>
            <a:ext uri="{FF2B5EF4-FFF2-40B4-BE49-F238E27FC236}">
              <a16:creationId xmlns:a16="http://schemas.microsoft.com/office/drawing/2014/main" xmlns="" id="{00000000-0008-0000-1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18</xdr:row>
      <xdr:rowOff>35719</xdr:rowOff>
    </xdr:from>
    <xdr:ext cx="291601" cy="291600"/>
    <xdr:pic>
      <xdr:nvPicPr>
        <xdr:cNvPr id="7" name="Picture 6">
          <a:hlinkClick xmlns:r="http://schemas.openxmlformats.org/officeDocument/2006/relationships" r:id="rId3"/>
          <a:extLst>
            <a:ext uri="{FF2B5EF4-FFF2-40B4-BE49-F238E27FC236}">
              <a16:creationId xmlns:a16="http://schemas.microsoft.com/office/drawing/2014/main" xmlns="" id="{00000000-0008-0000-1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250031</xdr:colOff>
      <xdr:row>6</xdr:row>
      <xdr:rowOff>166687</xdr:rowOff>
    </xdr:from>
    <xdr:ext cx="291600" cy="291600"/>
    <xdr:pic>
      <xdr:nvPicPr>
        <xdr:cNvPr id="6" name="Picture 5">
          <a:hlinkClick xmlns:r="http://schemas.openxmlformats.org/officeDocument/2006/relationships" r:id="rId1"/>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86125" y="1321593"/>
          <a:ext cx="291600" cy="291600"/>
        </a:xfrm>
        <a:prstGeom prst="rect">
          <a:avLst/>
        </a:prstGeom>
        <a:solidFill>
          <a:srgbClr val="FFFF00"/>
        </a:solidFill>
      </xdr:spPr>
    </xdr:pic>
    <xdr:clientData/>
  </xdr:oneCellAnchor>
  <xdr:oneCellAnchor>
    <xdr:from>
      <xdr:col>2</xdr:col>
      <xdr:colOff>1369219</xdr:colOff>
      <xdr:row>8</xdr:row>
      <xdr:rowOff>154782</xdr:rowOff>
    </xdr:from>
    <xdr:ext cx="291600" cy="291600"/>
    <xdr:pic>
      <xdr:nvPicPr>
        <xdr:cNvPr id="9" name="Picture 8">
          <a:hlinkClick xmlns:r="http://schemas.openxmlformats.org/officeDocument/2006/relationships" r:id="rId3"/>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05313" y="1702595"/>
          <a:ext cx="291600" cy="291600"/>
        </a:xfrm>
        <a:prstGeom prst="rect">
          <a:avLst/>
        </a:prstGeom>
        <a:solidFill>
          <a:srgbClr val="FFFF00"/>
        </a:solidFill>
      </xdr:spPr>
    </xdr:pic>
    <xdr:clientData/>
  </xdr:oneCellAnchor>
  <xdr:twoCellAnchor editAs="oneCell">
    <xdr:from>
      <xdr:col>1</xdr:col>
      <xdr:colOff>130967</xdr:colOff>
      <xdr:row>38</xdr:row>
      <xdr:rowOff>166688</xdr:rowOff>
    </xdr:from>
    <xdr:to>
      <xdr:col>1</xdr:col>
      <xdr:colOff>422567</xdr:colOff>
      <xdr:row>40</xdr:row>
      <xdr:rowOff>89195</xdr:rowOff>
    </xdr:to>
    <xdr:pic>
      <xdr:nvPicPr>
        <xdr:cNvPr id="10" name="Picture 9">
          <a:hlinkClick xmlns:r="http://schemas.openxmlformats.org/officeDocument/2006/relationships" r:id="rId4"/>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35780" y="9644063"/>
          <a:ext cx="291600" cy="291600"/>
        </a:xfrm>
        <a:prstGeom prst="rect">
          <a:avLst/>
        </a:prstGeom>
      </xdr:spPr>
    </xdr:pic>
    <xdr:clientData/>
  </xdr:twoCellAnchor>
  <xdr:oneCellAnchor>
    <xdr:from>
      <xdr:col>2</xdr:col>
      <xdr:colOff>2357438</xdr:colOff>
      <xdr:row>21</xdr:row>
      <xdr:rowOff>166688</xdr:rowOff>
    </xdr:from>
    <xdr:ext cx="291600" cy="291600"/>
    <xdr:pic>
      <xdr:nvPicPr>
        <xdr:cNvPr id="8" name="Picture 7">
          <a:hlinkClick xmlns:r="http://schemas.openxmlformats.org/officeDocument/2006/relationships" r:id="rId6"/>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93532" y="5107782"/>
          <a:ext cx="291600" cy="291600"/>
        </a:xfrm>
        <a:prstGeom prst="rect">
          <a:avLst/>
        </a:prstGeom>
        <a:solidFill>
          <a:srgbClr val="FFFF00"/>
        </a:solidFill>
      </xdr:spPr>
    </xdr:pic>
    <xdr:clientData/>
  </xdr:one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28574</xdr:rowOff>
    </xdr:from>
    <xdr:to>
      <xdr:col>10</xdr:col>
      <xdr:colOff>607219</xdr:colOff>
      <xdr:row>42</xdr:row>
      <xdr:rowOff>154781</xdr:rowOff>
    </xdr:to>
    <xdr:sp macro="" textlink="">
      <xdr:nvSpPr>
        <xdr:cNvPr id="2" name="TextBox 1">
          <a:extLst>
            <a:ext uri="{FF2B5EF4-FFF2-40B4-BE49-F238E27FC236}">
              <a16:creationId xmlns:a16="http://schemas.microsoft.com/office/drawing/2014/main" xmlns="" id="{00000000-0008-0000-1400-000002000000}"/>
            </a:ext>
          </a:extLst>
        </xdr:cNvPr>
        <xdr:cNvSpPr txBox="1"/>
      </xdr:nvSpPr>
      <xdr:spPr>
        <a:xfrm>
          <a:off x="0" y="350043"/>
          <a:ext cx="8227219" cy="7936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200" b="1">
              <a:effectLst/>
              <a:latin typeface="Arial"/>
              <a:cs typeface="Times New Roman"/>
            </a:rPr>
            <a:t>Quality of asset indicators</a:t>
          </a:r>
        </a:p>
        <a:p>
          <a:pPr>
            <a:spcBef>
              <a:spcPts val="600"/>
            </a:spcBef>
            <a:spcAft>
              <a:spcPts val="0"/>
            </a:spcAft>
          </a:pPr>
          <a:r>
            <a:rPr lang="en-GB" sz="1100" u="sng">
              <a:solidFill>
                <a:srgbClr val="000000"/>
              </a:solidFill>
              <a:effectLst/>
              <a:latin typeface="Arial"/>
              <a:ea typeface="Times New Roman"/>
              <a:cs typeface="Arial"/>
            </a:rPr>
            <a:t>Identifying the indicators:</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Identify indicators that provide essential information on the quality of the environment in the NNR, selecting as few as possible.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Select quality indicators that:</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describe the most important features of the ecosystem(s);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provide the greatest insights into the health of the ecosystem(s), including indicators of thresholds, tipping points, capacity and major dependencies on other ecosystems;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reflect the capacity of the ecosystem(s) to deliver benefits to people (including maintenance of access infrastructure</a:t>
          </a:r>
          <a:r>
            <a:rPr lang="en-GB" sz="1100">
              <a:solidFill>
                <a:srgbClr val="000000"/>
              </a:solidFill>
              <a:effectLst/>
              <a:latin typeface="Arial"/>
              <a:ea typeface="Calibri"/>
              <a:cs typeface="Arial"/>
            </a:rPr>
            <a:t> </a:t>
          </a:r>
          <a:r>
            <a:rPr lang="en-GB" sz="1100">
              <a:solidFill>
                <a:srgbClr val="000000"/>
              </a:solidFill>
              <a:effectLst/>
              <a:latin typeface="Arial"/>
              <a:ea typeface="Times New Roman"/>
              <a:cs typeface="Arial"/>
            </a:rPr>
            <a:t>and visitor centres, input by education officers and volunteers to educational visits etc.);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provide early warning of problems;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in summary, if you were on a trip to Mars and wanted to know that the NNR was doing</a:t>
          </a:r>
          <a:r>
            <a:rPr lang="en-GB" sz="1100" baseline="0">
              <a:solidFill>
                <a:srgbClr val="000000"/>
              </a:solidFill>
              <a:effectLst/>
              <a:latin typeface="Arial"/>
              <a:ea typeface="Times New Roman"/>
              <a:cs typeface="Arial"/>
            </a:rPr>
            <a:t> okay,</a:t>
          </a:r>
          <a:r>
            <a:rPr lang="en-GB" sz="1100">
              <a:solidFill>
                <a:srgbClr val="000000"/>
              </a:solidFill>
              <a:effectLst/>
              <a:latin typeface="Arial"/>
              <a:ea typeface="Times New Roman"/>
              <a:cs typeface="Arial"/>
            </a:rPr>
            <a:t> what indicators would you need information on?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Consider including indicators of deterioration in quality (e.g. extent of tree cover in wet grassland).</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You can include indicators that are assessed qualitatively. These could have a ‘yes’ or ‘no’ response (for example, does the site flood each year?). Examples of those used for the Lower Derwent Valley NNR are provided below. Also, you can include indicators of things the NNR manager has no control over.</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To keep them to a minimum, omit indicators that reflect the same thing as other indicators, and only include those that you can easily provide information on. If the data are only collected every 2-5 years (not annually), that is fine.</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To provide an example, quality of asset indicators employed for the Lower Derwent Valley NNR include the following:</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no. of waterfowl supported,</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no. of breeding snipe, corncrake, shoveller, barn owls,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tree cover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willow trees that are coppiced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river water quality,</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delivery of planned ditch clearance programme (yes/no),</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site floods each year (yes/no).</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solidFill>
                <a:srgbClr val="000000"/>
              </a:solidFill>
              <a:effectLst/>
              <a:latin typeface="Arial"/>
              <a:ea typeface="Times New Roman"/>
              <a:cs typeface="Arial"/>
            </a:rPr>
            <a:t>Completing the sheet:</a:t>
          </a:r>
          <a:endParaRPr lang="en-GB" sz="1200">
            <a:effectLst/>
            <a:latin typeface="Arial"/>
            <a:ea typeface="Calibri"/>
            <a:cs typeface="Times New Roman"/>
          </a:endParaRPr>
        </a:p>
        <a:p>
          <a:pPr>
            <a:spcBef>
              <a:spcPts val="600"/>
            </a:spcBef>
            <a:spcAft>
              <a:spcPts val="0"/>
            </a:spcAft>
          </a:pPr>
          <a:r>
            <a:rPr lang="en-GB" sz="1100">
              <a:effectLst/>
              <a:latin typeface="Arial"/>
              <a:ea typeface="Calibri"/>
              <a:cs typeface="Times New Roman"/>
            </a:rPr>
            <a:t>Complete the sheet as for the quantity of asset indicators. That is, for each indicator: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Specify why it is useful to include (as a check that you need to include it), its unit of measurement and where the information came from.</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Enter data for the year(s) that are being used for the assessment (recorded in the Focus Sheet). If they are for other years,</a:t>
          </a:r>
          <a:r>
            <a:rPr lang="en-GB" sz="1100" baseline="0">
              <a:effectLst/>
              <a:latin typeface="Arial"/>
              <a:ea typeface="Calibri"/>
              <a:cs typeface="Times New Roman"/>
            </a:rPr>
            <a:t> state under the assumption which years and the reasons for this.</a:t>
          </a:r>
          <a:r>
            <a:rPr lang="en-GB" sz="1100">
              <a:effectLst/>
              <a:latin typeface="Arial"/>
              <a:ea typeface="Calibri"/>
              <a:cs typeface="Times New Roman"/>
            </a:rPr>
            <a:t> </a:t>
          </a:r>
          <a:endParaRPr lang="en-GB" sz="1200">
            <a:effectLst/>
            <a:latin typeface="Arial"/>
            <a:ea typeface="Calibri"/>
            <a:cs typeface="Times New Roman"/>
          </a:endParaRPr>
        </a:p>
        <a:p>
          <a:endParaRPr lang="en-GB" sz="1100">
            <a:effectLst/>
            <a:latin typeface="Arial"/>
            <a:ea typeface="Calibri"/>
            <a:cs typeface="Times New Roman"/>
          </a:endParaRPr>
        </a:p>
        <a:p>
          <a:r>
            <a:rPr lang="en-GB" sz="1100">
              <a:effectLst/>
              <a:latin typeface="Arial"/>
              <a:ea typeface="Calibri"/>
              <a:cs typeface="Times New Roman"/>
            </a:rPr>
            <a:t>Make a note of any assumptions that you have made.</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5" name="Picture 4">
          <a:hlinkClick xmlns:r="http://schemas.openxmlformats.org/officeDocument/2006/relationships" r:id="rId1"/>
          <a:extLst>
            <a:ext uri="{FF2B5EF4-FFF2-40B4-BE49-F238E27FC236}">
              <a16:creationId xmlns:a16="http://schemas.microsoft.com/office/drawing/2014/main" xmlns="" id="{00000000-0008-0000-1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6" name="Picture 5">
          <a:hlinkClick xmlns:r="http://schemas.openxmlformats.org/officeDocument/2006/relationships" r:id="rId3"/>
          <a:extLst>
            <a:ext uri="{FF2B5EF4-FFF2-40B4-BE49-F238E27FC236}">
              <a16:creationId xmlns:a16="http://schemas.microsoft.com/office/drawing/2014/main" xmlns="" id="{00000000-0008-0000-1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43</xdr:row>
      <xdr:rowOff>35719</xdr:rowOff>
    </xdr:from>
    <xdr:ext cx="291601" cy="291600"/>
    <xdr:pic>
      <xdr:nvPicPr>
        <xdr:cNvPr id="7" name="Picture 6">
          <a:hlinkClick xmlns:r="http://schemas.openxmlformats.org/officeDocument/2006/relationships" r:id="rId1"/>
          <a:extLst>
            <a:ext uri="{FF2B5EF4-FFF2-40B4-BE49-F238E27FC236}">
              <a16:creationId xmlns:a16="http://schemas.microsoft.com/office/drawing/2014/main" xmlns="" id="{00000000-0008-0000-1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43</xdr:row>
      <xdr:rowOff>35719</xdr:rowOff>
    </xdr:from>
    <xdr:ext cx="291601" cy="291600"/>
    <xdr:pic>
      <xdr:nvPicPr>
        <xdr:cNvPr id="8" name="Picture 7">
          <a:hlinkClick xmlns:r="http://schemas.openxmlformats.org/officeDocument/2006/relationships" r:id="rId3"/>
          <a:extLst>
            <a:ext uri="{FF2B5EF4-FFF2-40B4-BE49-F238E27FC236}">
              <a16:creationId xmlns:a16="http://schemas.microsoft.com/office/drawing/2014/main" xmlns="" id="{00000000-0008-0000-1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271462</xdr:colOff>
      <xdr:row>1</xdr:row>
      <xdr:rowOff>309563</xdr:rowOff>
    </xdr:from>
    <xdr:to>
      <xdr:col>11</xdr:col>
      <xdr:colOff>250031</xdr:colOff>
      <xdr:row>10</xdr:row>
      <xdr:rowOff>11907</xdr:rowOff>
    </xdr:to>
    <xdr:sp macro="" textlink="">
      <xdr:nvSpPr>
        <xdr:cNvPr id="2" name="TextBox 1">
          <a:extLst>
            <a:ext uri="{FF2B5EF4-FFF2-40B4-BE49-F238E27FC236}">
              <a16:creationId xmlns:a16="http://schemas.microsoft.com/office/drawing/2014/main" xmlns="" id="{00000000-0008-0000-1500-000002000000}"/>
            </a:ext>
          </a:extLst>
        </xdr:cNvPr>
        <xdr:cNvSpPr txBox="1"/>
      </xdr:nvSpPr>
      <xdr:spPr>
        <a:xfrm>
          <a:off x="271462" y="631032"/>
          <a:ext cx="8360569" cy="1559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100" b="1" i="0">
              <a:solidFill>
                <a:srgbClr val="000000"/>
              </a:solidFill>
              <a:effectLst/>
              <a:latin typeface="Arial"/>
              <a:ea typeface="Times New Roman"/>
              <a:cs typeface="Arial"/>
            </a:rPr>
            <a:t>Other indicators:</a:t>
          </a:r>
          <a:endParaRPr lang="en-GB" sz="1200" i="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Include any other indicators that you wish to here. Complete the sheet in the same way as for the quantity and quality indicators.</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Because it is not included elsewhere in the account, you are encouraged to include carbon storage under other indicators. Estimates of carbon storage for the main habitats may be obtained from relevant reports and papers.</a:t>
          </a:r>
          <a:endParaRPr lang="en-GB" sz="1100"/>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a:extLst>
            <a:ext uri="{FF2B5EF4-FFF2-40B4-BE49-F238E27FC236}">
              <a16:creationId xmlns:a16="http://schemas.microsoft.com/office/drawing/2014/main" xmlns="" id="{00000000-0008-0000-1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a:extLst>
            <a:ext uri="{FF2B5EF4-FFF2-40B4-BE49-F238E27FC236}">
              <a16:creationId xmlns:a16="http://schemas.microsoft.com/office/drawing/2014/main" xmlns="" id="{00000000-0008-0000-1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10</xdr:row>
      <xdr:rowOff>35719</xdr:rowOff>
    </xdr:from>
    <xdr:ext cx="291601" cy="291600"/>
    <xdr:pic>
      <xdr:nvPicPr>
        <xdr:cNvPr id="5" name="Picture 4">
          <a:hlinkClick xmlns:r="http://schemas.openxmlformats.org/officeDocument/2006/relationships" r:id="rId1"/>
          <a:extLst>
            <a:ext uri="{FF2B5EF4-FFF2-40B4-BE49-F238E27FC236}">
              <a16:creationId xmlns:a16="http://schemas.microsoft.com/office/drawing/2014/main" xmlns="" id="{00000000-0008-0000-1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10</xdr:row>
      <xdr:rowOff>35719</xdr:rowOff>
    </xdr:from>
    <xdr:ext cx="291601" cy="291600"/>
    <xdr:pic>
      <xdr:nvPicPr>
        <xdr:cNvPr id="6" name="Picture 5">
          <a:hlinkClick xmlns:r="http://schemas.openxmlformats.org/officeDocument/2006/relationships" r:id="rId4"/>
          <a:extLst>
            <a:ext uri="{FF2B5EF4-FFF2-40B4-BE49-F238E27FC236}">
              <a16:creationId xmlns:a16="http://schemas.microsoft.com/office/drawing/2014/main" xmlns="" id="{00000000-0008-0000-1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10</xdr:row>
      <xdr:rowOff>35719</xdr:rowOff>
    </xdr:from>
    <xdr:ext cx="291601" cy="291600"/>
    <xdr:pic>
      <xdr:nvPicPr>
        <xdr:cNvPr id="7" name="Picture 6">
          <a:hlinkClick xmlns:r="http://schemas.openxmlformats.org/officeDocument/2006/relationships" r:id="rId1"/>
          <a:extLst>
            <a:ext uri="{FF2B5EF4-FFF2-40B4-BE49-F238E27FC236}">
              <a16:creationId xmlns:a16="http://schemas.microsoft.com/office/drawing/2014/main" xmlns="" id="{00000000-0008-0000-1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10</xdr:row>
      <xdr:rowOff>35719</xdr:rowOff>
    </xdr:from>
    <xdr:ext cx="291601" cy="291600"/>
    <xdr:pic>
      <xdr:nvPicPr>
        <xdr:cNvPr id="8" name="Picture 7">
          <a:hlinkClick xmlns:r="http://schemas.openxmlformats.org/officeDocument/2006/relationships" r:id="rId3"/>
          <a:extLst>
            <a:ext uri="{FF2B5EF4-FFF2-40B4-BE49-F238E27FC236}">
              <a16:creationId xmlns:a16="http://schemas.microsoft.com/office/drawing/2014/main" xmlns="" id="{00000000-0008-0000-1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0</xdr:col>
      <xdr:colOff>2380</xdr:colOff>
      <xdr:row>1</xdr:row>
      <xdr:rowOff>9523</xdr:rowOff>
    </xdr:from>
    <xdr:to>
      <xdr:col>10</xdr:col>
      <xdr:colOff>738187</xdr:colOff>
      <xdr:row>42</xdr:row>
      <xdr:rowOff>119062</xdr:rowOff>
    </xdr:to>
    <xdr:sp macro="" textlink="">
      <xdr:nvSpPr>
        <xdr:cNvPr id="2" name="TextBox 1">
          <a:extLst>
            <a:ext uri="{FF2B5EF4-FFF2-40B4-BE49-F238E27FC236}">
              <a16:creationId xmlns:a16="http://schemas.microsoft.com/office/drawing/2014/main" xmlns="" id="{00000000-0008-0000-1600-000002000000}"/>
            </a:ext>
          </a:extLst>
        </xdr:cNvPr>
        <xdr:cNvSpPr txBox="1"/>
      </xdr:nvSpPr>
      <xdr:spPr>
        <a:xfrm>
          <a:off x="2380" y="330992"/>
          <a:ext cx="8355807" cy="79200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1">
              <a:effectLst/>
              <a:latin typeface="Arial"/>
              <a:ea typeface="Calibri"/>
              <a:cs typeface="Times New Roman"/>
            </a:rPr>
            <a:t>How to complete the Cost Initial sheet:</a:t>
          </a:r>
          <a:endParaRPr lang="en-GB" sz="1200">
            <a:effectLst/>
            <a:latin typeface="Arial"/>
            <a:ea typeface="Calibri"/>
            <a:cs typeface="Times New Roman"/>
          </a:endParaRPr>
        </a:p>
        <a:p>
          <a:pPr>
            <a:spcAft>
              <a:spcPts val="0"/>
            </a:spcAft>
          </a:pPr>
          <a:r>
            <a:rPr lang="en-GB" sz="1200">
              <a:effectLst/>
              <a:latin typeface="Arial"/>
              <a:ea typeface="Calibri"/>
              <a:cs typeface="Times New Roman"/>
            </a:rPr>
            <a:t> </a:t>
          </a:r>
        </a:p>
        <a:p>
          <a:pPr>
            <a:spcAft>
              <a:spcPts val="0"/>
            </a:spcAft>
          </a:pPr>
          <a:r>
            <a:rPr lang="en-GB" sz="1100">
              <a:effectLst/>
              <a:latin typeface="Arial"/>
              <a:ea typeface="Times New Roman"/>
              <a:cs typeface="Arial"/>
            </a:rPr>
            <a:t>Enter costs for </a:t>
          </a:r>
          <a:r>
            <a:rPr lang="en-GB" sz="1100" baseline="0">
              <a:effectLst/>
              <a:latin typeface="Arial"/>
              <a:ea typeface="Times New Roman"/>
              <a:cs typeface="Arial"/>
            </a:rPr>
            <a:t>NNR maintenance, improvements and capital investment</a:t>
          </a:r>
          <a:r>
            <a:rPr lang="en-GB" sz="1100">
              <a:effectLst/>
              <a:latin typeface="Arial"/>
              <a:ea typeface="Times New Roman"/>
              <a:cs typeface="Arial"/>
            </a:rPr>
            <a:t>.  </a:t>
          </a:r>
          <a:endParaRPr lang="en-GB" sz="1200">
            <a:effectLst/>
            <a:latin typeface="Arial"/>
            <a:ea typeface="Times New Roman"/>
            <a:cs typeface="Times New Roman"/>
          </a:endParaRPr>
        </a:p>
        <a:p>
          <a:pPr>
            <a:spcAft>
              <a:spcPts val="0"/>
            </a:spcAft>
          </a:pPr>
          <a:endParaRPr lang="en-GB" sz="1200">
            <a:effectLst/>
            <a:latin typeface="Arial"/>
            <a:ea typeface="Times New Roman"/>
            <a:cs typeface="Times New Roman"/>
          </a:endParaRPr>
        </a:p>
        <a:p>
          <a:pPr>
            <a:spcAft>
              <a:spcPts val="0"/>
            </a:spcAft>
          </a:pPr>
          <a:r>
            <a:rPr lang="en-GB" sz="1100">
              <a:effectLst/>
              <a:latin typeface="Arial"/>
              <a:ea typeface="Times New Roman"/>
              <a:cs typeface="Arial"/>
            </a:rPr>
            <a:t>Costs are separated into inputs that are made by others (such as volunteers), which appears first, and costs paid for by Natural England.</a:t>
          </a:r>
        </a:p>
        <a:p>
          <a:pPr>
            <a:spcAft>
              <a:spcPts val="0"/>
            </a:spcAft>
          </a:pPr>
          <a:endParaRPr lang="en-GB" sz="1100">
            <a:effectLst/>
            <a:latin typeface="Arial"/>
            <a:ea typeface="Times New Roman"/>
            <a:cs typeface="Arial"/>
          </a:endParaRPr>
        </a:p>
        <a:p>
          <a:pPr>
            <a:spcAft>
              <a:spcPts val="0"/>
            </a:spcAft>
          </a:pPr>
          <a:r>
            <a:rPr lang="en-GB" sz="1100">
              <a:effectLst/>
              <a:latin typeface="Arial"/>
              <a:ea typeface="Times New Roman"/>
              <a:cs typeface="Arial"/>
            </a:rPr>
            <a:t>The categories of costs include:</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solidFill>
                <a:schemeClr val="dk1"/>
              </a:solidFill>
              <a:effectLst/>
              <a:latin typeface="Arial"/>
              <a:ea typeface="Times New Roman"/>
              <a:cs typeface="Arial"/>
            </a:rPr>
            <a:t>Inputs by volunteers.</a:t>
          </a:r>
        </a:p>
        <a:p>
          <a:pPr marL="342900" lvl="0" indent="-342900">
            <a:spcBef>
              <a:spcPts val="600"/>
            </a:spcBef>
            <a:spcAft>
              <a:spcPts val="0"/>
            </a:spcAft>
            <a:buFont typeface="Symbol"/>
            <a:buChar char=""/>
          </a:pPr>
          <a:r>
            <a:rPr lang="en-GB" sz="1100">
              <a:solidFill>
                <a:schemeClr val="dk1"/>
              </a:solidFill>
              <a:effectLst/>
              <a:latin typeface="Arial"/>
              <a:ea typeface="Times New Roman"/>
              <a:cs typeface="Arial"/>
            </a:rPr>
            <a:t>Contributions in kind other than volunteer time, eg a neighbour putting up a fence or supplying fencing materials. If possible, value these in terms of their market price (such as the cost of a contractor erecting the fence), if not, quantify and describe them.</a:t>
          </a:r>
        </a:p>
        <a:p>
          <a:pPr marL="342900" marR="0" lvl="0" indent="-342900" defTabSz="914400" eaLnBrk="1" fontAlgn="auto" latinLnBrk="0" hangingPunct="1">
            <a:lnSpc>
              <a:spcPct val="100000"/>
            </a:lnSpc>
            <a:spcBef>
              <a:spcPts val="6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Times New Roman"/>
              <a:cs typeface="Arial"/>
            </a:rPr>
            <a:t>Costs that are paid for by others. An example of this is the Environment Agency providing money to pay for maintenance of a flood defence.</a:t>
          </a:r>
        </a:p>
        <a:p>
          <a:pPr marL="342900" lvl="0" indent="-342900">
            <a:spcBef>
              <a:spcPts val="600"/>
            </a:spcBef>
            <a:spcAft>
              <a:spcPts val="0"/>
            </a:spcAft>
            <a:buFont typeface="Symbol"/>
            <a:buChar char=""/>
          </a:pPr>
          <a:r>
            <a:rPr lang="en-GB" sz="1100">
              <a:solidFill>
                <a:schemeClr val="dk1"/>
              </a:solidFill>
              <a:effectLst/>
              <a:latin typeface="Arial"/>
              <a:ea typeface="Times New Roman"/>
              <a:cs typeface="Arial"/>
            </a:rPr>
            <a:t>Costs paid for by Natural England that are entered in CMSi and those that are not. </a:t>
          </a:r>
        </a:p>
        <a:p>
          <a:pPr>
            <a:spcAft>
              <a:spcPts val="0"/>
            </a:spcAft>
          </a:pPr>
          <a:r>
            <a:rPr lang="en-GB" sz="1100">
              <a:effectLst/>
              <a:latin typeface="Arial"/>
              <a:ea typeface="Times New Roman"/>
              <a:cs typeface="Arial"/>
            </a:rPr>
            <a:t> </a:t>
          </a:r>
        </a:p>
        <a:p>
          <a:pPr>
            <a:spcAft>
              <a:spcPts val="0"/>
            </a:spcAft>
          </a:pPr>
          <a:r>
            <a:rPr lang="en-GB" sz="1100">
              <a:effectLst/>
              <a:latin typeface="Arial"/>
              <a:ea typeface="Calibri"/>
              <a:cs typeface="Arial"/>
            </a:rPr>
            <a:t>If the assessment</a:t>
          </a:r>
          <a:r>
            <a:rPr lang="en-GB" sz="1100" baseline="0">
              <a:effectLst/>
              <a:latin typeface="Arial"/>
              <a:ea typeface="Calibri"/>
              <a:cs typeface="Arial"/>
            </a:rPr>
            <a:t> is including the operations of tenants (specified in the Focus sheet), remember to include costs to tenants. Enter costs only of their operations on the NNR and enter them in the section for costs to Natural England.</a:t>
          </a:r>
          <a:endParaRPr lang="en-GB" sz="1100">
            <a:effectLst/>
            <a:latin typeface="Arial"/>
            <a:ea typeface="Calibri"/>
            <a:cs typeface="Arial"/>
          </a:endParaRPr>
        </a:p>
        <a:p>
          <a:pPr>
            <a:spcAft>
              <a:spcPts val="0"/>
            </a:spcAft>
          </a:pPr>
          <a:endParaRPr lang="en-GB" sz="1200">
            <a:effectLst/>
            <a:latin typeface="Arial"/>
            <a:ea typeface="Calibri"/>
            <a:cs typeface="Times New Roman"/>
          </a:endParaRPr>
        </a:p>
        <a:p>
          <a:pPr>
            <a:spcAft>
              <a:spcPts val="0"/>
            </a:spcAft>
          </a:pPr>
          <a:r>
            <a:rPr lang="en-GB" sz="1100" u="sng">
              <a:effectLst/>
              <a:latin typeface="Arial"/>
              <a:ea typeface="Times New Roman"/>
              <a:cs typeface="Arial"/>
            </a:rPr>
            <a:t>To complete the sheet: </a:t>
          </a:r>
          <a:endParaRPr lang="en-GB" sz="1200" u="none">
            <a:effectLst/>
            <a:latin typeface="Arial"/>
            <a:ea typeface="Times New Roman"/>
            <a:cs typeface="Times New Roman"/>
          </a:endParaRPr>
        </a:p>
        <a:p>
          <a:pPr>
            <a:spcAft>
              <a:spcPts val="0"/>
            </a:spcAft>
          </a:pPr>
          <a:endParaRPr lang="en-GB" sz="1200" u="none">
            <a:effectLst/>
            <a:latin typeface="Arial"/>
            <a:ea typeface="Times New Roman"/>
            <a:cs typeface="Times New Roman"/>
          </a:endParaRPr>
        </a:p>
        <a:p>
          <a:pPr>
            <a:spcAft>
              <a:spcPts val="0"/>
            </a:spcAft>
          </a:pPr>
          <a:r>
            <a:rPr lang="en-GB" sz="1100">
              <a:effectLst/>
              <a:latin typeface="Arial"/>
              <a:ea typeface="Times New Roman"/>
              <a:cs typeface="Arial"/>
            </a:rPr>
            <a:t>In the column for the first</a:t>
          </a:r>
          <a:r>
            <a:rPr lang="en-GB" sz="1100" baseline="0">
              <a:effectLst/>
              <a:latin typeface="Arial"/>
              <a:ea typeface="Times New Roman"/>
              <a:cs typeface="Arial"/>
            </a:rPr>
            <a:t> year that is being used for the assessment (recorded in the Focus sheet)</a:t>
          </a:r>
          <a:r>
            <a:rPr lang="en-GB" sz="1100">
              <a:effectLst/>
              <a:latin typeface="Arial"/>
              <a:ea typeface="Times New Roman"/>
              <a:cs typeface="Arial"/>
            </a:rPr>
            <a:t>, enter costs and other inputs for that year. </a:t>
          </a:r>
          <a:endParaRPr lang="en-GB" sz="1200">
            <a:effectLst/>
            <a:latin typeface="Arial"/>
            <a:ea typeface="Times New Roman"/>
            <a:cs typeface="Times New Roman"/>
          </a:endParaRPr>
        </a:p>
        <a:p>
          <a:pPr>
            <a:spcAft>
              <a:spcPts val="0"/>
            </a:spcAft>
          </a:pPr>
          <a:endParaRPr kumimoji="0" lang="en-GB" sz="1200" b="0" i="0" u="none" strike="noStrike" kern="0" cap="none" spc="0" normalizeH="0" baseline="0" noProof="0">
            <a:ln>
              <a:noFill/>
            </a:ln>
            <a:solidFill>
              <a:prstClr val="black"/>
            </a:solidFill>
            <a:effectLst/>
            <a:uLnTx/>
            <a:uFillTx/>
            <a:latin typeface="Arial"/>
            <a:ea typeface="Calibri" panose="020F0502020204030204" pitchFamily="34" charset="0"/>
            <a:cs typeface="Times New Roman"/>
          </a:endParaRPr>
        </a:p>
        <a:p>
          <a:pPr>
            <a:spcAft>
              <a:spcPts val="0"/>
            </a:spcAft>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If the amounts will differ significantly between years (e.g. because trees are felled once every three years) or are likely to change significantly in future, enter Yes in the final cell in the row and click on the link at the end of the row.  This takes you to the Cost Projections sheet. Enter estimates of the amount in future years (over the next 20 years). Then click the link at the top of the sheet to take you back to Cost Initial.</a:t>
          </a:r>
          <a:endParaRPr kumimoji="0" lang="en-GB" sz="1100" b="0" i="0" u="none" strike="noStrike" kern="0" cap="none" spc="0" normalizeH="0" baseline="0" noProof="0">
            <a:ln>
              <a:noFill/>
            </a:ln>
            <a:solidFill>
              <a:schemeClr val="dk1"/>
            </a:solidFill>
            <a:effectLst/>
            <a:uLnTx/>
            <a:uFillTx/>
            <a:latin typeface="Arial"/>
            <a:ea typeface="Calibri" panose="020F0502020204030204" pitchFamily="34" charset="0"/>
            <a:cs typeface="Arial"/>
          </a:endParaRPr>
        </a:p>
        <a:p>
          <a:pPr>
            <a:spcAft>
              <a:spcPts val="0"/>
            </a:spcAft>
          </a:pPr>
          <a:endParaRPr kumimoji="0" lang="en-GB" sz="1100" b="0" i="0" u="none" strike="noStrike" kern="0" cap="none" spc="0" normalizeH="0" baseline="0" noProof="0">
            <a:ln>
              <a:noFill/>
            </a:ln>
            <a:solidFill>
              <a:schemeClr val="dk1"/>
            </a:solidFill>
            <a:effectLst/>
            <a:uLnTx/>
            <a:uFillTx/>
            <a:latin typeface="Arial"/>
            <a:ea typeface="Times New Roman"/>
            <a:cs typeface="Arial"/>
          </a:endParaRPr>
        </a:p>
        <a:p>
          <a:pPr>
            <a:spcAft>
              <a:spcPts val="0"/>
            </a:spcAft>
          </a:pPr>
          <a:r>
            <a:rPr lang="en-GB" sz="1100">
              <a:effectLst/>
              <a:latin typeface="Arial"/>
              <a:ea typeface="Times New Roman"/>
              <a:cs typeface="Arial"/>
            </a:rPr>
            <a:t>Enter costs that will cover the costs of delivering the quantities of the goods</a:t>
          </a:r>
          <a:r>
            <a:rPr lang="en-GB" sz="1100" baseline="0">
              <a:effectLst/>
              <a:latin typeface="Arial"/>
              <a:ea typeface="Times New Roman"/>
              <a:cs typeface="Arial"/>
            </a:rPr>
            <a:t> and </a:t>
          </a:r>
          <a:r>
            <a:rPr lang="en-GB" sz="1100">
              <a:effectLst/>
              <a:latin typeface="Arial"/>
              <a:ea typeface="Times New Roman"/>
              <a:cs typeface="Arial"/>
            </a:rPr>
            <a:t>services specified in the G &amp; S Projections sheet. </a:t>
          </a:r>
          <a:endParaRPr lang="en-GB" sz="1200">
            <a:effectLst/>
            <a:latin typeface="Arial"/>
            <a:ea typeface="Times New Roman"/>
            <a:cs typeface="Times New Roman"/>
          </a:endParaRPr>
        </a:p>
        <a:p>
          <a:pPr>
            <a:spcAft>
              <a:spcPts val="0"/>
            </a:spcAft>
          </a:pPr>
          <a:endParaRPr lang="en-GB" sz="1200">
            <a:effectLst/>
            <a:latin typeface="Arial"/>
            <a:ea typeface="Times New Roman"/>
            <a:cs typeface="Times New Roman"/>
          </a:endParaRPr>
        </a:p>
        <a:p>
          <a:pPr>
            <a:spcAft>
              <a:spcPts val="0"/>
            </a:spcAft>
          </a:pPr>
          <a:r>
            <a:rPr lang="en-GB" sz="1100">
              <a:effectLst/>
              <a:latin typeface="Arial"/>
              <a:ea typeface="Times New Roman"/>
              <a:cs typeface="Arial"/>
            </a:rPr>
            <a:t>For each row, specify the source of the information, useful notes and key assumptions.</a:t>
          </a:r>
        </a:p>
        <a:p>
          <a:pPr>
            <a:spcAft>
              <a:spcPts val="0"/>
            </a:spcAft>
          </a:pPr>
          <a:endParaRPr lang="en-GB" sz="1100">
            <a:effectLst/>
            <a:latin typeface="Arial"/>
            <a:ea typeface="Calibri"/>
            <a:cs typeface="Arial"/>
          </a:endParaRPr>
        </a:p>
        <a:p>
          <a:pPr>
            <a:spcAft>
              <a:spcPts val="0"/>
            </a:spcAft>
          </a:pPr>
          <a:r>
            <a:rPr lang="en-GB" sz="1100">
              <a:effectLst/>
              <a:latin typeface="Arial"/>
              <a:ea typeface="Calibri"/>
              <a:cs typeface="Arial"/>
            </a:rPr>
            <a:t>To enable calculation</a:t>
          </a:r>
          <a:r>
            <a:rPr lang="en-GB" sz="1100" baseline="0">
              <a:effectLst/>
              <a:latin typeface="Arial"/>
              <a:ea typeface="Calibri"/>
              <a:cs typeface="Arial"/>
            </a:rPr>
            <a:t> of impacts on the local economy:</a:t>
          </a:r>
          <a:endParaRPr kumimoji="0" lang="en-GB" sz="1100" b="0" i="0" u="none" strike="noStrike" kern="0" cap="none" spc="0" normalizeH="0" baseline="0">
            <a:ln>
              <a:noFill/>
            </a:ln>
            <a:solidFill>
              <a:prstClr val="black"/>
            </a:solidFill>
            <a:effectLst/>
            <a:uLnTx/>
            <a:uFillTx/>
            <a:latin typeface="Arial"/>
            <a:ea typeface="Times New Roman"/>
            <a:cs typeface="Arial"/>
          </a:endParaRPr>
        </a:p>
        <a:p>
          <a:pPr marL="342900" lvl="0" indent="-342900">
            <a:spcBef>
              <a:spcPts val="600"/>
            </a:spcBef>
            <a:spcAft>
              <a:spcPts val="0"/>
            </a:spcAft>
            <a:buFont typeface="Symbol"/>
            <a:buChar char=""/>
          </a:pPr>
          <a:r>
            <a:rPr kumimoji="0" lang="en-GB" sz="1100" b="0" i="0" u="none" strike="noStrike" kern="0" cap="none" spc="0" normalizeH="0" baseline="0">
              <a:ln>
                <a:noFill/>
              </a:ln>
              <a:solidFill>
                <a:prstClr val="black"/>
              </a:solidFill>
              <a:effectLst/>
              <a:uLnTx/>
              <a:uFillTx/>
              <a:latin typeface="Arial"/>
              <a:ea typeface="Times New Roman"/>
              <a:cs typeface="Arial"/>
            </a:rPr>
            <a:t>For costs entered in CMSi, enter an estimate of the percentage of expenditure that is to local businesses or suppliers  within (a) 0 - 10 miles and (b) 0 - 30 miles of the NNR (including the expenditure within 10 miles). Exclude  national businesses (that have outlets or provide services across England, such as Tesco or Travis Perkins)  as they are not likely to contribute much to the local or regional economy. </a:t>
          </a:r>
        </a:p>
        <a:p>
          <a:pPr marL="342900" lvl="0" indent="-342900">
            <a:spcBef>
              <a:spcPts val="600"/>
            </a:spcBef>
            <a:spcAft>
              <a:spcPts val="0"/>
            </a:spcAft>
            <a:buFont typeface="Symbol"/>
            <a:buChar char=""/>
          </a:pPr>
          <a:r>
            <a:rPr kumimoji="0" lang="en-GB" sz="1100" b="0" i="0" u="none" strike="noStrike" kern="0" cap="none" spc="0" normalizeH="0" baseline="0">
              <a:ln>
                <a:noFill/>
              </a:ln>
              <a:solidFill>
                <a:prstClr val="black"/>
              </a:solidFill>
              <a:effectLst/>
              <a:uLnTx/>
              <a:uFillTx/>
              <a:latin typeface="Arial"/>
              <a:ea typeface="Times New Roman"/>
              <a:cs typeface="Arial"/>
            </a:rPr>
            <a:t>For costs not entered in CMSi (leases, utilities and fleet costs), identify the percentage of expenditure that is to local businesses within 10 miles of the NNR and exclude national businesses as these are not likely to contribute much to the local or regional economy. Repeat for businesses within 30 miles (including businesses within 10 miles).</a:t>
          </a:r>
        </a:p>
      </xdr:txBody>
    </xdr:sp>
    <xdr:clientData/>
  </xdr:twoCellAnchor>
  <xdr:oneCellAnchor>
    <xdr:from>
      <xdr:col>0</xdr:col>
      <xdr:colOff>345281</xdr:colOff>
      <xdr:row>0</xdr:row>
      <xdr:rowOff>35719</xdr:rowOff>
    </xdr:from>
    <xdr:ext cx="291601" cy="291600"/>
    <xdr:pic>
      <xdr:nvPicPr>
        <xdr:cNvPr id="3" name="Picture 2">
          <a:hlinkClick xmlns:r="http://schemas.openxmlformats.org/officeDocument/2006/relationships" r:id="rId1"/>
          <a:extLst>
            <a:ext uri="{FF2B5EF4-FFF2-40B4-BE49-F238E27FC236}">
              <a16:creationId xmlns:a16="http://schemas.microsoft.com/office/drawing/2014/main" xmlns="" id="{00000000-0008-0000-1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5281" y="35719"/>
          <a:ext cx="291601" cy="291600"/>
        </a:xfrm>
        <a:prstGeom prst="rect">
          <a:avLst/>
        </a:prstGeom>
      </xdr:spPr>
    </xdr:pic>
    <xdr:clientData/>
  </xdr:oneCellAnchor>
  <xdr:oneCellAnchor>
    <xdr:from>
      <xdr:col>0</xdr:col>
      <xdr:colOff>333375</xdr:colOff>
      <xdr:row>43</xdr:row>
      <xdr:rowOff>35719</xdr:rowOff>
    </xdr:from>
    <xdr:ext cx="291601" cy="291600"/>
    <xdr:pic>
      <xdr:nvPicPr>
        <xdr:cNvPr id="5" name="Picture 4">
          <a:hlinkClick xmlns:r="http://schemas.openxmlformats.org/officeDocument/2006/relationships" r:id="rId3"/>
          <a:extLst>
            <a:ext uri="{FF2B5EF4-FFF2-40B4-BE49-F238E27FC236}">
              <a16:creationId xmlns:a16="http://schemas.microsoft.com/office/drawing/2014/main" xmlns="" id="{00000000-0008-0000-1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43</xdr:row>
      <xdr:rowOff>35719</xdr:rowOff>
    </xdr:from>
    <xdr:ext cx="291601" cy="291600"/>
    <xdr:pic>
      <xdr:nvPicPr>
        <xdr:cNvPr id="6" name="Picture 5">
          <a:hlinkClick xmlns:r="http://schemas.openxmlformats.org/officeDocument/2006/relationships" r:id="rId1"/>
          <a:extLst>
            <a:ext uri="{FF2B5EF4-FFF2-40B4-BE49-F238E27FC236}">
              <a16:creationId xmlns:a16="http://schemas.microsoft.com/office/drawing/2014/main" xmlns="" id="{00000000-0008-0000-16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400050</xdr:colOff>
      <xdr:row>1</xdr:row>
      <xdr:rowOff>1</xdr:rowOff>
    </xdr:from>
    <xdr:to>
      <xdr:col>10</xdr:col>
      <xdr:colOff>645583</xdr:colOff>
      <xdr:row>44</xdr:row>
      <xdr:rowOff>47624</xdr:rowOff>
    </xdr:to>
    <xdr:sp macro="" textlink="">
      <xdr:nvSpPr>
        <xdr:cNvPr id="5" name="TextBox 4">
          <a:extLst>
            <a:ext uri="{FF2B5EF4-FFF2-40B4-BE49-F238E27FC236}">
              <a16:creationId xmlns:a16="http://schemas.microsoft.com/office/drawing/2014/main" xmlns="" id="{00000000-0008-0000-1700-000005000000}"/>
            </a:ext>
          </a:extLst>
        </xdr:cNvPr>
        <xdr:cNvSpPr txBox="1"/>
      </xdr:nvSpPr>
      <xdr:spPr>
        <a:xfrm>
          <a:off x="400050" y="309564"/>
          <a:ext cx="7865533" cy="8239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Steps for calculating estimates using HEAT:</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Go to the HEAT website at </a:t>
          </a:r>
          <a:r>
            <a:rPr lang="en-GB"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http://www.heatwalkingcycling.org</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Scroll down and select ‘Start using the tool’</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Scroll down and select ‘Start a HEAT assessment’</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Throughout the tool, to move on to the next page, click on ‘NEXT’</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i="1">
              <a:solidFill>
                <a:schemeClr val="dk1"/>
              </a:solidFill>
              <a:effectLst/>
              <a:latin typeface="Arial" panose="020B0604020202020204" pitchFamily="34" charset="0"/>
              <a:ea typeface="+mn-ea"/>
              <a:cs typeface="Arial" panose="020B0604020202020204" pitchFamily="34" charset="0"/>
            </a:rPr>
            <a:t>Active travel modes sheet:</a:t>
          </a:r>
          <a:r>
            <a:rPr lang="en-GB" sz="1100">
              <a:solidFill>
                <a:schemeClr val="dk1"/>
              </a:solidFill>
              <a:effectLst/>
              <a:latin typeface="Arial" panose="020B0604020202020204" pitchFamily="34" charset="0"/>
              <a:ea typeface="+mn-ea"/>
              <a:cs typeface="Arial" panose="020B0604020202020204" pitchFamily="34" charset="0"/>
            </a:rPr>
            <a:t> select ‘Walking’.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i="1">
              <a:solidFill>
                <a:schemeClr val="dk1"/>
              </a:solidFill>
              <a:effectLst/>
              <a:latin typeface="Arial" panose="020B0604020202020204" pitchFamily="34" charset="0"/>
              <a:ea typeface="+mn-ea"/>
              <a:cs typeface="Arial" panose="020B0604020202020204" pitchFamily="34" charset="0"/>
            </a:rPr>
            <a:t>Geographic scale sheet:</a:t>
          </a:r>
          <a:r>
            <a:rPr lang="en-GB" sz="1100">
              <a:solidFill>
                <a:schemeClr val="dk1"/>
              </a:solidFill>
              <a:effectLst/>
              <a:latin typeface="Arial" panose="020B0604020202020204" pitchFamily="34" charset="0"/>
              <a:ea typeface="+mn-ea"/>
              <a:cs typeface="Arial" panose="020B0604020202020204" pitchFamily="34" charset="0"/>
            </a:rPr>
            <a:t> select ‘Country level’, from the drop down list select ‘United Kingdom’.’</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i="1">
              <a:solidFill>
                <a:schemeClr val="dk1"/>
              </a:solidFill>
              <a:effectLst/>
              <a:latin typeface="Arial" panose="020B0604020202020204" pitchFamily="34" charset="0"/>
              <a:ea typeface="+mn-ea"/>
              <a:cs typeface="Arial" panose="020B0604020202020204" pitchFamily="34" charset="0"/>
            </a:rPr>
            <a:t>Comparison and time scale sheet:</a:t>
          </a:r>
          <a:r>
            <a:rPr lang="en-GB" sz="1100">
              <a:solidFill>
                <a:schemeClr val="dk1"/>
              </a:solidFill>
              <a:effectLst/>
              <a:latin typeface="Arial" panose="020B0604020202020204" pitchFamily="34" charset="0"/>
              <a:ea typeface="+mn-ea"/>
              <a:cs typeface="Arial" panose="020B0604020202020204" pitchFamily="34" charset="0"/>
            </a:rPr>
            <a:t> select ‘Single case’. Enter the year your</a:t>
          </a:r>
          <a:r>
            <a:rPr lang="en-GB" sz="1100" baseline="0">
              <a:solidFill>
                <a:schemeClr val="dk1"/>
              </a:solidFill>
              <a:effectLst/>
              <a:latin typeface="Arial" panose="020B0604020202020204" pitchFamily="34" charset="0"/>
              <a:ea typeface="+mn-ea"/>
              <a:cs typeface="Arial" panose="020B0604020202020204" pitchFamily="34" charset="0"/>
            </a:rPr>
            <a:t> visit data are for.</a:t>
          </a:r>
          <a:r>
            <a:rPr lang="en-GB" sz="1100">
              <a:solidFill>
                <a:schemeClr val="dk1"/>
              </a:solidFill>
              <a:effectLst/>
              <a:latin typeface="Arial" panose="020B0604020202020204" pitchFamily="34" charset="0"/>
              <a:ea typeface="+mn-ea"/>
              <a:cs typeface="Arial" panose="020B0604020202020204" pitchFamily="34" charset="0"/>
            </a:rPr>
            <a:t> Leave entries that are automatically completed in the remaining boxes.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i="1">
              <a:solidFill>
                <a:schemeClr val="dk1"/>
              </a:solidFill>
              <a:effectLst/>
              <a:latin typeface="Arial" panose="020B0604020202020204" pitchFamily="34" charset="0"/>
              <a:ea typeface="+mn-ea"/>
              <a:cs typeface="Arial" panose="020B0604020202020204" pitchFamily="34" charset="0"/>
            </a:rPr>
            <a:t>Impacts sheet:</a:t>
          </a:r>
          <a:r>
            <a:rPr lang="en-GB" sz="1100">
              <a:solidFill>
                <a:schemeClr val="dk1"/>
              </a:solidFill>
              <a:effectLst/>
              <a:latin typeface="Arial" panose="020B0604020202020204" pitchFamily="34" charset="0"/>
              <a:ea typeface="+mn-ea"/>
              <a:cs typeface="Arial" panose="020B0604020202020204" pitchFamily="34" charset="0"/>
            </a:rPr>
            <a:t> select ‘Physical activity’.</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i="1">
              <a:solidFill>
                <a:schemeClr val="dk1"/>
              </a:solidFill>
              <a:effectLst/>
              <a:latin typeface="Arial" panose="020B0604020202020204" pitchFamily="34" charset="0"/>
              <a:ea typeface="+mn-ea"/>
              <a:cs typeface="Arial" panose="020B0604020202020204" pitchFamily="34" charset="0"/>
            </a:rPr>
            <a:t>Introduction to data inputs sheet: </a:t>
          </a:r>
          <a:r>
            <a:rPr lang="en-GB" sz="1100" b="0" i="0">
              <a:solidFill>
                <a:schemeClr val="dk1"/>
              </a:solidFill>
              <a:effectLst/>
              <a:latin typeface="Arial" panose="020B0604020202020204" pitchFamily="34" charset="0"/>
              <a:ea typeface="+mn-ea"/>
              <a:cs typeface="Arial" panose="020B0604020202020204" pitchFamily="34" charset="0"/>
            </a:rPr>
            <a:t>select 'NEXT'</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i="1">
              <a:solidFill>
                <a:schemeClr val="dk1"/>
              </a:solidFill>
              <a:effectLst/>
              <a:latin typeface="Arial" panose="020B0604020202020204" pitchFamily="34" charset="0"/>
              <a:ea typeface="+mn-ea"/>
              <a:cs typeface="Arial" panose="020B0604020202020204" pitchFamily="34" charset="0"/>
            </a:rPr>
            <a:t>Volume data active modes sheet: </a:t>
          </a:r>
          <a:br>
            <a:rPr lang="en-GB" sz="1100" b="1" i="1">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Unit:</a:t>
          </a:r>
          <a:r>
            <a:rPr lang="en-GB" sz="1100" baseline="0">
              <a:solidFill>
                <a:schemeClr val="dk1"/>
              </a:solidFill>
              <a:effectLst/>
              <a:latin typeface="Arial" panose="020B0604020202020204" pitchFamily="34" charset="0"/>
              <a:ea typeface="+mn-ea"/>
              <a:cs typeface="Arial" panose="020B0604020202020204" pitchFamily="34" charset="0"/>
            </a:rPr>
            <a:t> set it at 'Miles', 'Kilometres' or </a:t>
          </a:r>
          <a:r>
            <a:rPr lang="en-GB" sz="1100">
              <a:solidFill>
                <a:schemeClr val="dk1"/>
              </a:solidFill>
              <a:effectLst/>
              <a:latin typeface="Arial" panose="020B0604020202020204" pitchFamily="34" charset="0"/>
              <a:ea typeface="+mn-ea"/>
              <a:cs typeface="Arial" panose="020B0604020202020204" pitchFamily="34" charset="0"/>
            </a:rPr>
            <a:t>‘Minutes' </a:t>
          </a:r>
          <a:r>
            <a:rPr lang="en-GB" sz="1100" baseline="0">
              <a:solidFill>
                <a:schemeClr val="dk1"/>
              </a:solidFill>
              <a:effectLst/>
              <a:latin typeface="Arial" panose="020B0604020202020204" pitchFamily="34" charset="0"/>
              <a:ea typeface="+mn-ea"/>
              <a:cs typeface="Arial" panose="020B0604020202020204" pitchFamily="34" charset="0"/>
            </a:rPr>
            <a:t>according to the data that you will be entering</a:t>
          </a:r>
          <a:r>
            <a:rPr lang="en-GB" sz="1100">
              <a:solidFill>
                <a:schemeClr val="dk1"/>
              </a:solidFill>
              <a:effectLst/>
              <a:latin typeface="Arial" panose="020B0604020202020204" pitchFamily="34" charset="0"/>
              <a:ea typeface="+mn-ea"/>
              <a:cs typeface="Arial" panose="020B0604020202020204" pitchFamily="34" charset="0"/>
            </a:rPr>
            <a:t>. </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Amount: using data from the Economic Assessment for NNRs workbook, Health Benefits sheet, enter either: </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average distance walked per day (in miles or kilometres), or average amount of time spent walking per day (minutes). These figures will be low as they are the average over a year.</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Population type: leave set at ‘General population (per person)’.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i="1">
              <a:solidFill>
                <a:schemeClr val="dk1"/>
              </a:solidFill>
              <a:effectLst/>
              <a:latin typeface="Arial" panose="020B0604020202020204" pitchFamily="34" charset="0"/>
              <a:ea typeface="+mn-ea"/>
              <a:cs typeface="Arial" panose="020B0604020202020204" pitchFamily="34" charset="0"/>
            </a:rPr>
            <a:t>Population data: </a:t>
          </a:r>
          <a:r>
            <a:rPr lang="en-GB" sz="1100">
              <a:solidFill>
                <a:schemeClr val="dk1"/>
              </a:solidFill>
              <a:effectLst/>
              <a:latin typeface="Arial" panose="020B0604020202020204" pitchFamily="34" charset="0"/>
              <a:ea typeface="+mn-ea"/>
              <a:cs typeface="Arial" panose="020B0604020202020204" pitchFamily="34" charset="0"/>
            </a:rPr>
            <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Leave age range set at ‘Adult population (20-74 years)’.</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Population in reference case of the walking assessment: enter the estimated number of</a:t>
          </a:r>
          <a:r>
            <a:rPr lang="en-GB" sz="1100" baseline="0">
              <a:solidFill>
                <a:schemeClr val="dk1"/>
              </a:solidFill>
              <a:effectLst/>
              <a:latin typeface="Arial" panose="020B0604020202020204" pitchFamily="34" charset="0"/>
              <a:ea typeface="+mn-ea"/>
              <a:cs typeface="Arial" panose="020B0604020202020204" pitchFamily="34" charset="0"/>
            </a:rPr>
            <a:t> adult</a:t>
          </a:r>
          <a:r>
            <a:rPr lang="en-GB" sz="1100">
              <a:solidFill>
                <a:schemeClr val="dk1"/>
              </a:solidFill>
              <a:effectLst/>
              <a:latin typeface="Arial" panose="020B0604020202020204" pitchFamily="34" charset="0"/>
              <a:ea typeface="+mn-ea"/>
              <a:cs typeface="Arial" panose="020B0604020202020204" pitchFamily="34" charset="0"/>
            </a:rPr>
            <a:t> visitors to the NNR (do</a:t>
          </a:r>
          <a:r>
            <a:rPr lang="en-GB" sz="1100" baseline="0">
              <a:solidFill>
                <a:schemeClr val="dk1"/>
              </a:solidFill>
              <a:effectLst/>
              <a:latin typeface="Arial" panose="020B0604020202020204" pitchFamily="34" charset="0"/>
              <a:ea typeface="+mn-ea"/>
              <a:cs typeface="Arial" panose="020B0604020202020204" pitchFamily="34" charset="0"/>
            </a:rPr>
            <a:t> not include any commas)</a:t>
          </a:r>
          <a:r>
            <a:rPr lang="en-GB" sz="1100">
              <a:solidFill>
                <a:schemeClr val="dk1"/>
              </a:solidFill>
              <a:effectLst/>
              <a:latin typeface="Arial" panose="020B0604020202020204" pitchFamily="34" charset="0"/>
              <a:ea typeface="+mn-ea"/>
              <a:cs typeface="Arial" panose="020B0604020202020204" pitchFamily="34" charset="0"/>
            </a:rPr>
            <a:t> .HEAT</a:t>
          </a:r>
          <a:r>
            <a:rPr lang="en-GB" sz="1100" baseline="0">
              <a:solidFill>
                <a:schemeClr val="dk1"/>
              </a:solidFill>
              <a:effectLst/>
              <a:latin typeface="Arial" panose="020B0604020202020204" pitchFamily="34" charset="0"/>
              <a:ea typeface="+mn-ea"/>
              <a:cs typeface="Arial" panose="020B0604020202020204" pitchFamily="34" charset="0"/>
            </a:rPr>
            <a:t> is assumed to apply to people aged over 16 for the purposes of this analysis.</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i="1">
              <a:solidFill>
                <a:schemeClr val="dk1"/>
              </a:solidFill>
              <a:effectLst/>
              <a:latin typeface="Arial" panose="020B0604020202020204" pitchFamily="34" charset="0"/>
              <a:ea typeface="+mn-ea"/>
              <a:cs typeface="Arial" panose="020B0604020202020204" pitchFamily="34" charset="0"/>
            </a:rPr>
            <a:t>General adjustments:</a:t>
          </a:r>
          <a:r>
            <a:rPr lang="en-GB" sz="1100">
              <a:solidFill>
                <a:schemeClr val="dk1"/>
              </a:solidFill>
              <a:effectLst/>
              <a:latin typeface="Arial" panose="020B0604020202020204" pitchFamily="34" charset="0"/>
              <a:ea typeface="+mn-ea"/>
              <a:cs typeface="Arial" panose="020B0604020202020204" pitchFamily="34" charset="0"/>
            </a:rPr>
            <a:t> select ‘NEXT’ having made no adjustments.</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i="1">
              <a:solidFill>
                <a:schemeClr val="dk1"/>
              </a:solidFill>
              <a:effectLst/>
              <a:latin typeface="Arial" panose="020B0604020202020204" pitchFamily="34" charset="0"/>
              <a:ea typeface="+mn-ea"/>
              <a:cs typeface="Arial" panose="020B0604020202020204" pitchFamily="34" charset="0"/>
            </a:rPr>
            <a:t>Other</a:t>
          </a:r>
          <a:r>
            <a:rPr lang="en-GB" sz="1100" b="1" i="1" baseline="0">
              <a:solidFill>
                <a:schemeClr val="dk1"/>
              </a:solidFill>
              <a:effectLst/>
              <a:latin typeface="Arial" panose="020B0604020202020204" pitchFamily="34" charset="0"/>
              <a:ea typeface="+mn-ea"/>
              <a:cs typeface="Arial" panose="020B0604020202020204" pitchFamily="34" charset="0"/>
            </a:rPr>
            <a:t> adjustments:</a:t>
          </a:r>
          <a:r>
            <a:rPr lang="en-GB" sz="1100" baseline="0">
              <a:solidFill>
                <a:schemeClr val="dk1"/>
              </a:solidFill>
              <a:effectLst/>
              <a:latin typeface="Arial" panose="020B0604020202020204" pitchFamily="34" charset="0"/>
              <a:ea typeface="+mn-ea"/>
              <a:cs typeface="Arial" panose="020B0604020202020204" pitchFamily="34" charset="0"/>
            </a:rPr>
            <a:t> select ‘NEXT’ having made no adjustments. </a:t>
          </a:r>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i="1">
              <a:solidFill>
                <a:schemeClr val="dk1"/>
              </a:solidFill>
              <a:effectLst/>
              <a:latin typeface="Arial" panose="020B0604020202020204" pitchFamily="34" charset="0"/>
              <a:ea typeface="+mn-ea"/>
              <a:cs typeface="Arial" panose="020B0604020202020204" pitchFamily="34" charset="0"/>
            </a:rPr>
            <a:t>Introduction to parameter review:</a:t>
          </a:r>
          <a:r>
            <a:rPr lang="en-GB" sz="1100">
              <a:solidFill>
                <a:schemeClr val="dk1"/>
              </a:solidFill>
              <a:effectLst/>
              <a:latin typeface="Arial" panose="020B0604020202020204" pitchFamily="34" charset="0"/>
              <a:ea typeface="+mn-ea"/>
              <a:cs typeface="Arial" panose="020B0604020202020204" pitchFamily="34" charset="0"/>
            </a:rPr>
            <a:t> select ‘NEXT’ having made no adjustments: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i="1">
              <a:solidFill>
                <a:schemeClr val="dk1"/>
              </a:solidFill>
              <a:effectLst/>
              <a:latin typeface="Arial" panose="020B0604020202020204" pitchFamily="34" charset="0"/>
              <a:ea typeface="+mn-ea"/>
              <a:cs typeface="Arial" panose="020B0604020202020204" pitchFamily="34" charset="0"/>
            </a:rPr>
            <a:t>Calculation parameters:</a:t>
          </a:r>
          <a:r>
            <a:rPr lang="en-GB" sz="1100">
              <a:solidFill>
                <a:schemeClr val="dk1"/>
              </a:solidFill>
              <a:effectLst/>
              <a:latin typeface="Arial" panose="020B0604020202020204" pitchFamily="34" charset="0"/>
              <a:ea typeface="+mn-ea"/>
              <a:cs typeface="Arial" panose="020B0604020202020204" pitchFamily="34" charset="0"/>
            </a:rPr>
            <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In the editable value column for row 2 enter a discount rate of 1.5%.</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In the editable value column for row 3 enter a value of a statistical life of £1,701,821 in 2016-17(no</a:t>
          </a:r>
          <a:r>
            <a:rPr lang="en-GB" sz="1100" baseline="0">
              <a:solidFill>
                <a:schemeClr val="dk1"/>
              </a:solidFill>
              <a:effectLst/>
              <a:latin typeface="Arial" panose="020B0604020202020204" pitchFamily="34" charset="0"/>
              <a:ea typeface="+mn-ea"/>
              <a:cs typeface="Arial" panose="020B0604020202020204" pitchFamily="34" charset="0"/>
            </a:rPr>
            <a:t> need to convert it </a:t>
          </a:r>
        </a:p>
        <a:p>
          <a:r>
            <a:rPr lang="en-GB" sz="1100" baseline="0">
              <a:solidFill>
                <a:schemeClr val="dk1"/>
              </a:solidFill>
              <a:effectLst/>
              <a:latin typeface="Arial" panose="020B0604020202020204" pitchFamily="34" charset="0"/>
              <a:ea typeface="+mn-ea"/>
              <a:cs typeface="Arial" panose="020B0604020202020204" pitchFamily="34" charset="0"/>
            </a:rPr>
            <a:t>to euros. Just remember that the results will be in £).</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i="1">
              <a:solidFill>
                <a:schemeClr val="dk1"/>
              </a:solidFill>
              <a:effectLst/>
              <a:latin typeface="Arial" panose="020B0604020202020204" pitchFamily="34" charset="0"/>
              <a:ea typeface="+mn-ea"/>
              <a:cs typeface="Arial" panose="020B0604020202020204" pitchFamily="34" charset="0"/>
            </a:rPr>
            <a:t>Results for your assessment:</a:t>
          </a:r>
          <a:r>
            <a:rPr lang="en-GB" sz="1100">
              <a:solidFill>
                <a:schemeClr val="dk1"/>
              </a:solidFill>
              <a:effectLst/>
              <a:latin typeface="Arial" panose="020B0604020202020204" pitchFamily="34" charset="0"/>
              <a:ea typeface="+mn-ea"/>
              <a:cs typeface="Arial" panose="020B0604020202020204" pitchFamily="34" charset="0"/>
            </a:rPr>
            <a:t> </a:t>
          </a:r>
          <a:br>
            <a:rPr lang="en-GB" sz="1100">
              <a:solidFill>
                <a:schemeClr val="dk1"/>
              </a:solidFill>
              <a:effectLst/>
              <a:latin typeface="Arial" panose="020B0604020202020204" pitchFamily="34" charset="0"/>
              <a:ea typeface="+mn-ea"/>
              <a:cs typeface="Arial" panose="020B0604020202020204" pitchFamily="34" charset="0"/>
            </a:rPr>
          </a:br>
          <a:r>
            <a:rPr lang="en-GB" sz="1100">
              <a:solidFill>
                <a:schemeClr val="dk1"/>
              </a:solidFill>
              <a:effectLst/>
              <a:latin typeface="Arial" panose="020B0604020202020204" pitchFamily="34" charset="0"/>
              <a:ea typeface="+mn-ea"/>
              <a:cs typeface="Arial" panose="020B0604020202020204" pitchFamily="34" charset="0"/>
            </a:rPr>
            <a:t>These give the number of premature deaths prevented and the economic value of the impacts (which are in £ even though the tool states that they are in euros (because the value that you entered in the previous sheet was in £)).</a:t>
          </a:r>
        </a:p>
        <a:p>
          <a:endParaRPr lang="en-GB" sz="1100">
            <a:latin typeface="Arial" panose="020B0604020202020204" pitchFamily="34" charset="0"/>
            <a:cs typeface="Arial" panose="020B0604020202020204" pitchFamily="34" charset="0"/>
          </a:endParaRPr>
        </a:p>
        <a:p>
          <a:r>
            <a:rPr lang="en-GB" sz="1100" b="1" i="1">
              <a:latin typeface="Arial" panose="020B0604020202020204" pitchFamily="34" charset="0"/>
              <a:cs typeface="Arial" panose="020B0604020202020204" pitchFamily="34" charset="0"/>
            </a:rPr>
            <a:t>Introduction to results:</a:t>
          </a:r>
          <a:r>
            <a:rPr lang="en-GB" sz="1100">
              <a:latin typeface="Arial" panose="020B0604020202020204" pitchFamily="34" charset="0"/>
              <a:cs typeface="Arial" panose="020B0604020202020204" pitchFamily="34" charset="0"/>
            </a:rPr>
            <a:t> select 'NEXT'</a:t>
          </a:r>
        </a:p>
      </xdr:txBody>
    </xdr:sp>
    <xdr:clientData/>
  </xdr:twoCellAnchor>
  <xdr:oneCellAnchor>
    <xdr:from>
      <xdr:col>0</xdr:col>
      <xdr:colOff>314855</xdr:colOff>
      <xdr:row>0</xdr:row>
      <xdr:rowOff>0</xdr:rowOff>
    </xdr:from>
    <xdr:ext cx="291601" cy="274402"/>
    <xdr:pic>
      <xdr:nvPicPr>
        <xdr:cNvPr id="6" name="Picture 5">
          <a:hlinkClick xmlns:r="http://schemas.openxmlformats.org/officeDocument/2006/relationships" r:id="rId1"/>
          <a:extLst>
            <a:ext uri="{FF2B5EF4-FFF2-40B4-BE49-F238E27FC236}">
              <a16:creationId xmlns:a16="http://schemas.microsoft.com/office/drawing/2014/main" xmlns="" id="{00000000-0008-0000-1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855" y="0"/>
          <a:ext cx="291601" cy="274402"/>
        </a:xfrm>
        <a:prstGeom prst="rect">
          <a:avLst/>
        </a:prstGeom>
      </xdr:spPr>
    </xdr:pic>
    <xdr:clientData/>
  </xdr:oneCellAnchor>
  <xdr:oneCellAnchor>
    <xdr:from>
      <xdr:col>0</xdr:col>
      <xdr:colOff>305594</xdr:colOff>
      <xdr:row>44</xdr:row>
      <xdr:rowOff>128322</xdr:rowOff>
    </xdr:from>
    <xdr:ext cx="291601" cy="274402"/>
    <xdr:pic>
      <xdr:nvPicPr>
        <xdr:cNvPr id="7" name="Picture 6">
          <a:hlinkClick xmlns:r="http://schemas.openxmlformats.org/officeDocument/2006/relationships" r:id="rId1"/>
          <a:extLst>
            <a:ext uri="{FF2B5EF4-FFF2-40B4-BE49-F238E27FC236}">
              <a16:creationId xmlns:a16="http://schemas.microsoft.com/office/drawing/2014/main" xmlns="" id="{00000000-0008-0000-1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5594" y="8438885"/>
          <a:ext cx="291601" cy="274402"/>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xdr:from>
      <xdr:col>0</xdr:col>
      <xdr:colOff>400050</xdr:colOff>
      <xdr:row>1</xdr:row>
      <xdr:rowOff>0</xdr:rowOff>
    </xdr:from>
    <xdr:to>
      <xdr:col>10</xdr:col>
      <xdr:colOff>751417</xdr:colOff>
      <xdr:row>24</xdr:row>
      <xdr:rowOff>179917</xdr:rowOff>
    </xdr:to>
    <xdr:sp macro="" textlink="">
      <xdr:nvSpPr>
        <xdr:cNvPr id="2" name="TextBox 1">
          <a:extLst>
            <a:ext uri="{FF2B5EF4-FFF2-40B4-BE49-F238E27FC236}">
              <a16:creationId xmlns:a16="http://schemas.microsoft.com/office/drawing/2014/main" xmlns="" id="{00000000-0008-0000-1800-000002000000}"/>
            </a:ext>
          </a:extLst>
        </xdr:cNvPr>
        <xdr:cNvSpPr txBox="1"/>
      </xdr:nvSpPr>
      <xdr:spPr>
        <a:xfrm>
          <a:off x="400050" y="297656"/>
          <a:ext cx="7971367" cy="4561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Ways of maintaining / enhancing capital:</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Examples are provided below</a:t>
          </a:r>
        </a:p>
        <a:p>
          <a:r>
            <a:rPr lang="en-GB" sz="1100" b="1">
              <a:solidFill>
                <a:schemeClr val="dk1"/>
              </a:solidFill>
              <a:effectLst/>
              <a:latin typeface="Arial" panose="020B0604020202020204" pitchFamily="34" charset="0"/>
              <a:ea typeface="+mn-ea"/>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Human capital:</a:t>
          </a:r>
          <a:endParaRPr lang="en-GB" sz="11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The NNR team ensure that staff, volunteers and the public are safe on the site.</a:t>
          </a: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NNR runs events that provide education to the public.</a:t>
          </a: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Staff, volunteers and students are provided with formal training and informal training on the job.</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chemeClr val="dk1"/>
              </a:solidFill>
              <a:effectLst/>
              <a:latin typeface="Arial" panose="020B0604020202020204" pitchFamily="34" charset="0"/>
              <a:ea typeface="+mn-ea"/>
              <a:cs typeface="Arial" panose="020B0604020202020204" pitchFamily="34" charset="0"/>
            </a:rPr>
            <a:t>Social capital:</a:t>
          </a:r>
          <a:endParaRPr lang="en-GB" sz="11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The NNR team communicates with the public through Facebook and Twitter</a:t>
          </a: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The NNR holds events at which local organisations can engage with the public.</a:t>
          </a: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The NNR team participates in relevant local stakeholder partnerships (provide details).</a:t>
          </a:r>
        </a:p>
        <a:p>
          <a:r>
            <a:rPr lang="en-GB" sz="1100" b="1">
              <a:solidFill>
                <a:schemeClr val="dk1"/>
              </a:solidFill>
              <a:effectLst/>
              <a:latin typeface="Arial" panose="020B0604020202020204" pitchFamily="34" charset="0"/>
              <a:ea typeface="+mn-ea"/>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Natural capital:</a:t>
          </a:r>
          <a:endParaRPr lang="en-GB" sz="11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Use of solar panels or heat source pump to supply electricity to the NNR.</a:t>
          </a: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Site is managed organically (without use of chemicals or artificial fertilisers).</a:t>
          </a: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Timber purchased by the NNR is responsibly produced (eg Forest Stewardship Council certified).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chemeClr val="dk1"/>
              </a:solidFill>
              <a:effectLst/>
              <a:latin typeface="Arial" panose="020B0604020202020204" pitchFamily="34" charset="0"/>
              <a:ea typeface="+mn-ea"/>
              <a:cs typeface="Arial" panose="020B0604020202020204" pitchFamily="34" charset="0"/>
            </a:rPr>
            <a:t>Produced capital:</a:t>
          </a:r>
          <a:endParaRPr lang="en-GB" sz="11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Drones are being used to provide efficient data collection. </a:t>
          </a: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Data</a:t>
          </a:r>
          <a:r>
            <a:rPr lang="en-GB" sz="1100" baseline="0">
              <a:solidFill>
                <a:schemeClr val="dk1"/>
              </a:solidFill>
              <a:effectLst/>
              <a:latin typeface="Arial" panose="020B0604020202020204" pitchFamily="34" charset="0"/>
              <a:ea typeface="+mn-ea"/>
              <a:cs typeface="Arial" panose="020B0604020202020204" pitchFamily="34" charset="0"/>
            </a:rPr>
            <a:t> are being r</a:t>
          </a:r>
          <a:r>
            <a:rPr lang="en-GB" sz="1100">
              <a:solidFill>
                <a:schemeClr val="dk1"/>
              </a:solidFill>
              <a:effectLst/>
              <a:latin typeface="Arial" panose="020B0604020202020204" pitchFamily="34" charset="0"/>
              <a:ea typeface="+mn-ea"/>
              <a:cs typeface="Arial" panose="020B0604020202020204" pitchFamily="34" charset="0"/>
            </a:rPr>
            <a:t>ecorded directly</a:t>
          </a:r>
          <a:r>
            <a:rPr lang="en-GB" sz="1100" baseline="0">
              <a:solidFill>
                <a:schemeClr val="dk1"/>
              </a:solidFill>
              <a:effectLst/>
              <a:latin typeface="Arial" panose="020B0604020202020204" pitchFamily="34" charset="0"/>
              <a:ea typeface="+mn-ea"/>
              <a:cs typeface="Arial" panose="020B0604020202020204" pitchFamily="34" charset="0"/>
            </a:rPr>
            <a:t> on to tablets, to be efficient.</a:t>
          </a:r>
          <a:endParaRPr lang="en-GB" sz="11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The land is managed in a way that retains soil carbon and reduces run off of pollutants. </a:t>
          </a:r>
        </a:p>
        <a:p>
          <a:r>
            <a:rPr lang="en-GB" sz="1100" b="1">
              <a:solidFill>
                <a:schemeClr val="dk1"/>
              </a:solidFill>
              <a:effectLst/>
              <a:latin typeface="Arial" panose="020B0604020202020204" pitchFamily="34" charset="0"/>
              <a:ea typeface="+mn-ea"/>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Financial capital:</a:t>
          </a:r>
          <a:endParaRPr lang="en-GB" sz="11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Carbon credits are purchased to offset greenhouse gas emissions from vehicles.</a:t>
          </a: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The NNR team upholds standards the support the reputation of Natural England and NNRs.</a:t>
          </a:r>
        </a:p>
      </xdr:txBody>
    </xdr:sp>
    <xdr:clientData/>
  </xdr:twoCellAnchor>
  <xdr:oneCellAnchor>
    <xdr:from>
      <xdr:col>0</xdr:col>
      <xdr:colOff>322791</xdr:colOff>
      <xdr:row>0</xdr:row>
      <xdr:rowOff>42334</xdr:rowOff>
    </xdr:from>
    <xdr:ext cx="291601" cy="274402"/>
    <xdr:pic>
      <xdr:nvPicPr>
        <xdr:cNvPr id="3" name="Picture 2">
          <a:hlinkClick xmlns:r="http://schemas.openxmlformats.org/officeDocument/2006/relationships" r:id="rId1"/>
          <a:extLst>
            <a:ext uri="{FF2B5EF4-FFF2-40B4-BE49-F238E27FC236}">
              <a16:creationId xmlns:a16="http://schemas.microsoft.com/office/drawing/2014/main" xmlns="" id="{00000000-0008-0000-1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2791" y="42334"/>
          <a:ext cx="291601" cy="274402"/>
        </a:xfrm>
        <a:prstGeom prst="rect">
          <a:avLst/>
        </a:prstGeom>
      </xdr:spPr>
    </xdr:pic>
    <xdr:clientData/>
  </xdr:oneCellAnchor>
  <xdr:oneCellAnchor>
    <xdr:from>
      <xdr:col>0</xdr:col>
      <xdr:colOff>269875</xdr:colOff>
      <xdr:row>25</xdr:row>
      <xdr:rowOff>148166</xdr:rowOff>
    </xdr:from>
    <xdr:ext cx="291601" cy="274402"/>
    <xdr:pic>
      <xdr:nvPicPr>
        <xdr:cNvPr id="5" name="Picture 4">
          <a:hlinkClick xmlns:r="http://schemas.openxmlformats.org/officeDocument/2006/relationships" r:id="rId1"/>
          <a:extLst>
            <a:ext uri="{FF2B5EF4-FFF2-40B4-BE49-F238E27FC236}">
              <a16:creationId xmlns:a16="http://schemas.microsoft.com/office/drawing/2014/main" xmlns="" id="{00000000-0008-0000-1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9875" y="5016499"/>
          <a:ext cx="291601" cy="27440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2976563</xdr:colOff>
      <xdr:row>8</xdr:row>
      <xdr:rowOff>142876</xdr:rowOff>
    </xdr:from>
    <xdr:to>
      <xdr:col>1</xdr:col>
      <xdr:colOff>3268163</xdr:colOff>
      <xdr:row>10</xdr:row>
      <xdr:rowOff>65382</xdr:rowOff>
    </xdr:to>
    <xdr:pic>
      <xdr:nvPicPr>
        <xdr:cNvPr id="2" name="Picture 1">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81376" y="1654970"/>
          <a:ext cx="291600" cy="291600"/>
        </a:xfrm>
        <a:prstGeom prst="rect">
          <a:avLst/>
        </a:prstGeom>
        <a:solidFill>
          <a:srgbClr val="FFFF00"/>
        </a:solidFill>
      </xdr:spPr>
    </xdr:pic>
    <xdr:clientData/>
  </xdr:twoCellAnchor>
  <xdr:twoCellAnchor editAs="oneCell">
    <xdr:from>
      <xdr:col>1</xdr:col>
      <xdr:colOff>0</xdr:colOff>
      <xdr:row>90</xdr:row>
      <xdr:rowOff>142874</xdr:rowOff>
    </xdr:from>
    <xdr:to>
      <xdr:col>1</xdr:col>
      <xdr:colOff>291600</xdr:colOff>
      <xdr:row>92</xdr:row>
      <xdr:rowOff>65381</xdr:rowOff>
    </xdr:to>
    <xdr:pic>
      <xdr:nvPicPr>
        <xdr:cNvPr id="3" name="Picture 2">
          <a:hlinkClick xmlns:r="http://schemas.openxmlformats.org/officeDocument/2006/relationships" r:id="rId3"/>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4813" y="20407312"/>
          <a:ext cx="291600" cy="29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2976562</xdr:colOff>
      <xdr:row>7</xdr:row>
      <xdr:rowOff>154781</xdr:rowOff>
    </xdr:from>
    <xdr:to>
      <xdr:col>1</xdr:col>
      <xdr:colOff>3268162</xdr:colOff>
      <xdr:row>9</xdr:row>
      <xdr:rowOff>67762</xdr:rowOff>
    </xdr:to>
    <xdr:pic>
      <xdr:nvPicPr>
        <xdr:cNvPr id="2" name="Picture 1">
          <a:hlinkClick xmlns:r="http://schemas.openxmlformats.org/officeDocument/2006/relationships" r:id="rId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86137" y="1288256"/>
          <a:ext cx="291600" cy="296363"/>
        </a:xfrm>
        <a:prstGeom prst="rect">
          <a:avLst/>
        </a:prstGeom>
        <a:solidFill>
          <a:srgbClr val="FFFF00"/>
        </a:solidFill>
      </xdr:spPr>
    </xdr:pic>
    <xdr:clientData/>
  </xdr:twoCellAnchor>
  <xdr:twoCellAnchor editAs="oneCell">
    <xdr:from>
      <xdr:col>1</xdr:col>
      <xdr:colOff>0</xdr:colOff>
      <xdr:row>48</xdr:row>
      <xdr:rowOff>130969</xdr:rowOff>
    </xdr:from>
    <xdr:to>
      <xdr:col>1</xdr:col>
      <xdr:colOff>291600</xdr:colOff>
      <xdr:row>50</xdr:row>
      <xdr:rowOff>53476</xdr:rowOff>
    </xdr:to>
    <xdr:pic>
      <xdr:nvPicPr>
        <xdr:cNvPr id="3" name="Picture 2">
          <a:hlinkClick xmlns:r="http://schemas.openxmlformats.org/officeDocument/2006/relationships" r:id="rId3"/>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9575" y="8770144"/>
          <a:ext cx="291600" cy="2939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51</xdr:row>
      <xdr:rowOff>130969</xdr:rowOff>
    </xdr:from>
    <xdr:to>
      <xdr:col>1</xdr:col>
      <xdr:colOff>291600</xdr:colOff>
      <xdr:row>53</xdr:row>
      <xdr:rowOff>53471</xdr:rowOff>
    </xdr:to>
    <xdr:pic>
      <xdr:nvPicPr>
        <xdr:cNvPr id="3" name="Picture 2">
          <a:hlinkClick xmlns:r="http://schemas.openxmlformats.org/officeDocument/2006/relationships" r:id="rId1"/>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813" y="8739188"/>
          <a:ext cx="291600" cy="291600"/>
        </a:xfrm>
        <a:prstGeom prst="rect">
          <a:avLst/>
        </a:prstGeom>
      </xdr:spPr>
    </xdr:pic>
    <xdr:clientData/>
  </xdr:twoCellAnchor>
  <xdr:twoCellAnchor editAs="oneCell">
    <xdr:from>
      <xdr:col>1</xdr:col>
      <xdr:colOff>0</xdr:colOff>
      <xdr:row>51</xdr:row>
      <xdr:rowOff>130969</xdr:rowOff>
    </xdr:from>
    <xdr:to>
      <xdr:col>1</xdr:col>
      <xdr:colOff>291600</xdr:colOff>
      <xdr:row>53</xdr:row>
      <xdr:rowOff>53473</xdr:rowOff>
    </xdr:to>
    <xdr:pic>
      <xdr:nvPicPr>
        <xdr:cNvPr id="4" name="Picture 3">
          <a:hlinkClick xmlns:r="http://schemas.openxmlformats.org/officeDocument/2006/relationships" r:id="rId3"/>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12570619"/>
          <a:ext cx="291600" cy="2939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2012155</xdr:colOff>
      <xdr:row>17</xdr:row>
      <xdr:rowOff>11905</xdr:rowOff>
    </xdr:from>
    <xdr:to>
      <xdr:col>1</xdr:col>
      <xdr:colOff>2208504</xdr:colOff>
      <xdr:row>18</xdr:row>
      <xdr:rowOff>17754</xdr:rowOff>
    </xdr:to>
    <xdr:pic>
      <xdr:nvPicPr>
        <xdr:cNvPr id="3" name="Picture 2">
          <a:hlinkClick xmlns:r="http://schemas.openxmlformats.org/officeDocument/2006/relationships" r:id="rId1"/>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16968" y="2226468"/>
          <a:ext cx="196349" cy="196349"/>
        </a:xfrm>
        <a:prstGeom prst="rect">
          <a:avLst/>
        </a:prstGeom>
        <a:solidFill>
          <a:srgbClr val="FFFF00"/>
        </a:solidFill>
      </xdr:spPr>
    </xdr:pic>
    <xdr:clientData/>
  </xdr:twoCellAnchor>
  <xdr:twoCellAnchor editAs="oneCell">
    <xdr:from>
      <xdr:col>1</xdr:col>
      <xdr:colOff>2012157</xdr:colOff>
      <xdr:row>31</xdr:row>
      <xdr:rowOff>23813</xdr:rowOff>
    </xdr:from>
    <xdr:to>
      <xdr:col>1</xdr:col>
      <xdr:colOff>2210157</xdr:colOff>
      <xdr:row>32</xdr:row>
      <xdr:rowOff>31313</xdr:rowOff>
    </xdr:to>
    <xdr:pic>
      <xdr:nvPicPr>
        <xdr:cNvPr id="4" name="Picture 3">
          <a:hlinkClick xmlns:r="http://schemas.openxmlformats.org/officeDocument/2006/relationships" r:id="rId3"/>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16970" y="4250532"/>
          <a:ext cx="198000" cy="198000"/>
        </a:xfrm>
        <a:prstGeom prst="rect">
          <a:avLst/>
        </a:prstGeom>
        <a:solidFill>
          <a:srgbClr val="FFFF00"/>
        </a:solidFill>
      </xdr:spPr>
    </xdr:pic>
    <xdr:clientData/>
  </xdr:twoCellAnchor>
  <xdr:twoCellAnchor editAs="oneCell">
    <xdr:from>
      <xdr:col>1</xdr:col>
      <xdr:colOff>2012155</xdr:colOff>
      <xdr:row>51</xdr:row>
      <xdr:rowOff>11906</xdr:rowOff>
    </xdr:from>
    <xdr:to>
      <xdr:col>1</xdr:col>
      <xdr:colOff>2210155</xdr:colOff>
      <xdr:row>52</xdr:row>
      <xdr:rowOff>19406</xdr:rowOff>
    </xdr:to>
    <xdr:pic>
      <xdr:nvPicPr>
        <xdr:cNvPr id="5" name="Picture 4">
          <a:hlinkClick xmlns:r="http://schemas.openxmlformats.org/officeDocument/2006/relationships" r:id="rId5"/>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16968" y="7489031"/>
          <a:ext cx="198000" cy="198000"/>
        </a:xfrm>
        <a:prstGeom prst="rect">
          <a:avLst/>
        </a:prstGeom>
        <a:solidFill>
          <a:srgbClr val="FFFF00"/>
        </a:solidFill>
      </xdr:spPr>
    </xdr:pic>
    <xdr:clientData/>
  </xdr:twoCellAnchor>
  <xdr:twoCellAnchor editAs="oneCell">
    <xdr:from>
      <xdr:col>1</xdr:col>
      <xdr:colOff>0</xdr:colOff>
      <xdr:row>61</xdr:row>
      <xdr:rowOff>130970</xdr:rowOff>
    </xdr:from>
    <xdr:to>
      <xdr:col>1</xdr:col>
      <xdr:colOff>291600</xdr:colOff>
      <xdr:row>63</xdr:row>
      <xdr:rowOff>53475</xdr:rowOff>
    </xdr:to>
    <xdr:pic>
      <xdr:nvPicPr>
        <xdr:cNvPr id="6" name="Picture 5">
          <a:hlinkClick xmlns:r="http://schemas.openxmlformats.org/officeDocument/2006/relationships" r:id="rId6"/>
          <a:extLst>
            <a:ext uri="{FF2B5EF4-FFF2-40B4-BE49-F238E27FC236}">
              <a16:creationId xmlns:a16="http://schemas.microsoft.com/office/drawing/2014/main" xmlns="" id="{00000000-0008-0000-05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4813" y="9608345"/>
          <a:ext cx="291600" cy="291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3083717</xdr:colOff>
      <xdr:row>10</xdr:row>
      <xdr:rowOff>139474</xdr:rowOff>
    </xdr:from>
    <xdr:to>
      <xdr:col>1</xdr:col>
      <xdr:colOff>3344702</xdr:colOff>
      <xdr:row>12</xdr:row>
      <xdr:rowOff>36271</xdr:rowOff>
    </xdr:to>
    <xdr:pic>
      <xdr:nvPicPr>
        <xdr:cNvPr id="2" name="Picture 1">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88530" y="1246755"/>
          <a:ext cx="260985" cy="253984"/>
        </a:xfrm>
        <a:prstGeom prst="rect">
          <a:avLst/>
        </a:prstGeom>
        <a:solidFill>
          <a:srgbClr val="FFFF00"/>
        </a:solidFill>
      </xdr:spPr>
    </xdr:pic>
    <xdr:clientData/>
  </xdr:twoCellAnchor>
  <xdr:twoCellAnchor editAs="oneCell">
    <xdr:from>
      <xdr:col>1</xdr:col>
      <xdr:colOff>0</xdr:colOff>
      <xdr:row>52</xdr:row>
      <xdr:rowOff>130969</xdr:rowOff>
    </xdr:from>
    <xdr:to>
      <xdr:col>1</xdr:col>
      <xdr:colOff>291600</xdr:colOff>
      <xdr:row>54</xdr:row>
      <xdr:rowOff>63000</xdr:rowOff>
    </xdr:to>
    <xdr:pic>
      <xdr:nvPicPr>
        <xdr:cNvPr id="3" name="Picture 2">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9575" y="12570619"/>
          <a:ext cx="291600" cy="2939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59</xdr:row>
      <xdr:rowOff>130969</xdr:rowOff>
    </xdr:from>
    <xdr:to>
      <xdr:col>1</xdr:col>
      <xdr:colOff>291600</xdr:colOff>
      <xdr:row>61</xdr:row>
      <xdr:rowOff>72526</xdr:rowOff>
    </xdr:to>
    <xdr:pic>
      <xdr:nvPicPr>
        <xdr:cNvPr id="3" name="Picture 2">
          <a:hlinkClick xmlns:r="http://schemas.openxmlformats.org/officeDocument/2006/relationships" r:id="rId1"/>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11265694"/>
          <a:ext cx="291600" cy="30350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71437</xdr:colOff>
      <xdr:row>150</xdr:row>
      <xdr:rowOff>178593</xdr:rowOff>
    </xdr:from>
    <xdr:to>
      <xdr:col>1</xdr:col>
      <xdr:colOff>363037</xdr:colOff>
      <xdr:row>152</xdr:row>
      <xdr:rowOff>108244</xdr:rowOff>
    </xdr:to>
    <xdr:pic>
      <xdr:nvPicPr>
        <xdr:cNvPr id="2" name="Picture 1">
          <a:hlinkClick xmlns:r="http://schemas.openxmlformats.org/officeDocument/2006/relationships" r:id="rId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43600687"/>
          <a:ext cx="291600" cy="310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696677/Data_tables_1-19_supporting_the_toolkit_and_the_guidance_2017__180403_.xlsx" TargetMode="External"/><Relationship Id="rId2" Type="http://schemas.openxmlformats.org/officeDocument/2006/relationships/hyperlink" Target="https://www.leep.exeter.ac.uk/orval/" TargetMode="External"/><Relationship Id="rId1" Type="http://schemas.openxmlformats.org/officeDocument/2006/relationships/printerSettings" Target="../printerSettings/printerSettings14.bin"/><Relationship Id="rId5" Type="http://schemas.openxmlformats.org/officeDocument/2006/relationships/drawing" Target="../drawings/drawing9.xml"/><Relationship Id="rId4"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8"/>
  <sheetViews>
    <sheetView showGridLines="0" tabSelected="1" zoomScale="80" zoomScaleNormal="80" workbookViewId="0"/>
  </sheetViews>
  <sheetFormatPr defaultRowHeight="15" x14ac:dyDescent="0.2"/>
  <cols>
    <col min="1" max="1" width="4.6640625" style="106" customWidth="1"/>
    <col min="2" max="2" width="20.6640625" style="106" customWidth="1"/>
    <col min="3" max="3" width="32.5546875" style="106" customWidth="1"/>
    <col min="4" max="4" width="9.109375" style="106" customWidth="1"/>
    <col min="5" max="5" width="87.33203125" style="106" customWidth="1"/>
    <col min="6" max="16384" width="8.88671875" style="106"/>
  </cols>
  <sheetData>
    <row r="2" spans="2:5" ht="15.75" x14ac:dyDescent="0.25">
      <c r="B2" s="112" t="s">
        <v>1130</v>
      </c>
    </row>
    <row r="4" spans="2:5" x14ac:dyDescent="0.2">
      <c r="B4" s="106" t="s">
        <v>1133</v>
      </c>
    </row>
    <row r="5" spans="2:5" x14ac:dyDescent="0.2">
      <c r="B5" s="106" t="s">
        <v>166</v>
      </c>
    </row>
    <row r="7" spans="2:5" ht="15.75" x14ac:dyDescent="0.25">
      <c r="B7" s="1257" t="s">
        <v>1138</v>
      </c>
      <c r="C7" s="1256"/>
      <c r="D7" s="1256"/>
      <c r="E7" s="1256"/>
    </row>
    <row r="8" spans="2:5" x14ac:dyDescent="0.2">
      <c r="B8" s="132"/>
      <c r="C8" s="133"/>
      <c r="D8" s="133"/>
      <c r="E8" s="133"/>
    </row>
    <row r="9" spans="2:5" x14ac:dyDescent="0.2">
      <c r="B9" s="141" t="s">
        <v>1126</v>
      </c>
    </row>
    <row r="11" spans="2:5" x14ac:dyDescent="0.2">
      <c r="B11" s="110" t="s">
        <v>104</v>
      </c>
      <c r="C11" s="111" t="s">
        <v>111</v>
      </c>
      <c r="D11" s="111" t="s">
        <v>105</v>
      </c>
      <c r="E11" s="111" t="s">
        <v>112</v>
      </c>
    </row>
    <row r="12" spans="2:5" x14ac:dyDescent="0.2">
      <c r="B12" s="1261" t="s">
        <v>113</v>
      </c>
      <c r="C12" s="107" t="s">
        <v>106</v>
      </c>
      <c r="D12" s="108" t="s">
        <v>107</v>
      </c>
      <c r="E12" s="107" t="s">
        <v>1134</v>
      </c>
    </row>
    <row r="13" spans="2:5" x14ac:dyDescent="0.2">
      <c r="B13" s="1191" t="s">
        <v>167</v>
      </c>
      <c r="C13" s="107" t="s">
        <v>120</v>
      </c>
      <c r="D13" s="108" t="s">
        <v>107</v>
      </c>
      <c r="E13" s="107" t="s">
        <v>108</v>
      </c>
    </row>
    <row r="14" spans="2:5" x14ac:dyDescent="0.2">
      <c r="B14" s="1192" t="s">
        <v>305</v>
      </c>
      <c r="C14" s="107" t="s">
        <v>308</v>
      </c>
      <c r="D14" s="108" t="s">
        <v>107</v>
      </c>
      <c r="E14" s="107" t="s">
        <v>1115</v>
      </c>
    </row>
    <row r="15" spans="2:5" ht="28.5" x14ac:dyDescent="0.2">
      <c r="B15" s="1193" t="s">
        <v>306</v>
      </c>
      <c r="C15" s="107" t="s">
        <v>309</v>
      </c>
      <c r="D15" s="108" t="s">
        <v>107</v>
      </c>
      <c r="E15" s="107" t="s">
        <v>307</v>
      </c>
    </row>
    <row r="16" spans="2:5" x14ac:dyDescent="0.2">
      <c r="B16" s="1262" t="s">
        <v>170</v>
      </c>
      <c r="C16" s="107" t="s">
        <v>168</v>
      </c>
      <c r="D16" s="108" t="s">
        <v>107</v>
      </c>
      <c r="E16" s="107" t="s">
        <v>109</v>
      </c>
    </row>
    <row r="17" spans="2:5" x14ac:dyDescent="0.2">
      <c r="B17" s="1194" t="s">
        <v>310</v>
      </c>
      <c r="C17" s="107" t="s">
        <v>254</v>
      </c>
      <c r="D17" s="108" t="s">
        <v>107</v>
      </c>
      <c r="E17" s="107" t="s">
        <v>1114</v>
      </c>
    </row>
    <row r="18" spans="2:5" x14ac:dyDescent="0.2">
      <c r="B18" s="1195" t="s">
        <v>313</v>
      </c>
      <c r="C18" s="107" t="s">
        <v>245</v>
      </c>
      <c r="D18" s="108" t="s">
        <v>107</v>
      </c>
      <c r="E18" s="107" t="s">
        <v>311</v>
      </c>
    </row>
    <row r="19" spans="2:5" x14ac:dyDescent="0.2">
      <c r="B19" s="1196" t="s">
        <v>312</v>
      </c>
      <c r="C19" s="107" t="s">
        <v>1122</v>
      </c>
      <c r="D19" s="108" t="s">
        <v>107</v>
      </c>
      <c r="E19" s="107" t="s">
        <v>359</v>
      </c>
    </row>
    <row r="20" spans="2:5" x14ac:dyDescent="0.2">
      <c r="B20" s="1263" t="s">
        <v>447</v>
      </c>
      <c r="C20" s="107" t="s">
        <v>1123</v>
      </c>
      <c r="D20" s="108" t="s">
        <v>107</v>
      </c>
      <c r="E20" s="135" t="s">
        <v>1125</v>
      </c>
    </row>
    <row r="21" spans="2:5" ht="28.5" x14ac:dyDescent="0.2">
      <c r="B21" s="1264" t="s">
        <v>448</v>
      </c>
      <c r="C21" s="107" t="s">
        <v>1129</v>
      </c>
      <c r="D21" s="108" t="s">
        <v>107</v>
      </c>
      <c r="E21" s="107" t="s">
        <v>1118</v>
      </c>
    </row>
    <row r="22" spans="2:5" ht="28.5" x14ac:dyDescent="0.2">
      <c r="B22" s="1265" t="s">
        <v>1119</v>
      </c>
      <c r="C22" s="107" t="s">
        <v>172</v>
      </c>
      <c r="D22" s="109" t="s">
        <v>110</v>
      </c>
      <c r="E22" s="107" t="s">
        <v>119</v>
      </c>
    </row>
    <row r="23" spans="2:5" x14ac:dyDescent="0.2">
      <c r="B23" s="1265" t="s">
        <v>1120</v>
      </c>
      <c r="C23" s="722" t="s">
        <v>173</v>
      </c>
      <c r="D23" s="109" t="s">
        <v>110</v>
      </c>
      <c r="E23" s="107" t="s">
        <v>839</v>
      </c>
    </row>
    <row r="24" spans="2:5" ht="28.5" x14ac:dyDescent="0.2">
      <c r="B24" s="1265" t="s">
        <v>1121</v>
      </c>
      <c r="C24" s="107" t="s">
        <v>1124</v>
      </c>
      <c r="D24" s="109" t="s">
        <v>110</v>
      </c>
      <c r="E24" s="107" t="s">
        <v>1127</v>
      </c>
    </row>
    <row r="25" spans="2:5" ht="15.75" x14ac:dyDescent="0.2">
      <c r="B25" s="1266" t="s">
        <v>117</v>
      </c>
      <c r="C25" s="1267"/>
      <c r="D25" s="1267"/>
      <c r="E25" s="1267"/>
    </row>
    <row r="26" spans="2:5" ht="28.5" x14ac:dyDescent="0.2">
      <c r="B26" s="135" t="s">
        <v>115</v>
      </c>
      <c r="C26" s="134" t="s">
        <v>116</v>
      </c>
      <c r="D26" s="109" t="s">
        <v>110</v>
      </c>
      <c r="E26" s="107" t="s">
        <v>118</v>
      </c>
    </row>
    <row r="28" spans="2:5" x14ac:dyDescent="0.2">
      <c r="B28" s="1268" t="s">
        <v>121</v>
      </c>
      <c r="C28" s="1269"/>
    </row>
  </sheetData>
  <mergeCells count="2">
    <mergeCell ref="B25:E25"/>
    <mergeCell ref="B28:C28"/>
  </mergeCells>
  <hyperlinks>
    <hyperlink ref="B12" location="Focus!A1" display="Focus"/>
    <hyperlink ref="B13" location="'G &amp; S'!A1" display="G &amp; S"/>
    <hyperlink ref="B14" location="'G &amp; S Initial'!A1" display="G &amp; S Initial"/>
    <hyperlink ref="B16" location="Indicators!A1" display="Indicators"/>
    <hyperlink ref="B18" location="'Cost Projections'!A1" display="Costs Projections"/>
    <hyperlink ref="B19" location="Values!A1" display="Values"/>
    <hyperlink ref="B28" location="Focus!A1" display="Go to the next sheet"/>
    <hyperlink ref="B15" location="'G &amp; S Projections'!A1" display="G &amp; S Projections"/>
    <hyperlink ref="B17" location="'Cost Initial'!A1" display="Costs Initial"/>
    <hyperlink ref="B21" location="Capitals!A1" display="Capitals"/>
    <hyperlink ref="B20" location="'Health Benefits'!A1" display="Health Benefits"/>
    <hyperlink ref="B22" location="'X G &amp; S Value'!A1" display="X G &amp; S Value"/>
    <hyperlink ref="B23" location="'X Net Asset Value'!A1" display="X Net Asset Value"/>
    <hyperlink ref="B24" location="'X Economy Contrib'!A1" display="X Economy Contrib"/>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M162"/>
  <sheetViews>
    <sheetView zoomScale="80" zoomScaleNormal="80" workbookViewId="0"/>
  </sheetViews>
  <sheetFormatPr defaultRowHeight="15" x14ac:dyDescent="0.2"/>
  <cols>
    <col min="1" max="1" width="4.77734375" style="1200" customWidth="1"/>
    <col min="2" max="2" width="70.21875" style="1200" customWidth="1"/>
    <col min="3" max="3" width="15.6640625" style="1200" customWidth="1"/>
    <col min="4" max="4" width="27.33203125" style="1200" customWidth="1"/>
    <col min="5" max="5" width="8.88671875" style="1200"/>
    <col min="6" max="6" width="12" style="1200" customWidth="1"/>
    <col min="7" max="10" width="8.88671875" style="1200"/>
    <col min="11" max="11" width="12" style="1200" bestFit="1" customWidth="1"/>
    <col min="12" max="16384" width="8.88671875" style="1200"/>
  </cols>
  <sheetData>
    <row r="2" spans="2:13" ht="15.75" x14ac:dyDescent="0.25">
      <c r="B2" s="1201" t="s">
        <v>449</v>
      </c>
    </row>
    <row r="3" spans="2:13" ht="15.75" x14ac:dyDescent="0.25">
      <c r="B3" s="1201"/>
    </row>
    <row r="4" spans="2:13" ht="15.75" x14ac:dyDescent="0.25">
      <c r="B4" s="1202" t="s">
        <v>85</v>
      </c>
    </row>
    <row r="5" spans="2:13" x14ac:dyDescent="0.2">
      <c r="B5" s="1200" t="s">
        <v>594</v>
      </c>
      <c r="M5" s="1203"/>
    </row>
    <row r="6" spans="2:13" x14ac:dyDescent="0.2">
      <c r="B6" s="1200" t="s">
        <v>1082</v>
      </c>
      <c r="M6" s="1203"/>
    </row>
    <row r="7" spans="2:13" x14ac:dyDescent="0.2">
      <c r="B7" s="1200" t="s">
        <v>1083</v>
      </c>
    </row>
    <row r="8" spans="2:13" x14ac:dyDescent="0.2">
      <c r="B8" s="1200" t="s">
        <v>592</v>
      </c>
    </row>
    <row r="10" spans="2:13" x14ac:dyDescent="0.2">
      <c r="B10" s="1204" t="s">
        <v>1131</v>
      </c>
    </row>
    <row r="12" spans="2:13" x14ac:dyDescent="0.2">
      <c r="B12" s="1205" t="s">
        <v>4</v>
      </c>
      <c r="C12" s="1206" t="str">
        <f>Focus!C16</f>
        <v>Shapwick Heath NNR</v>
      </c>
    </row>
    <row r="14" spans="2:13" ht="15.75" x14ac:dyDescent="0.25">
      <c r="B14" s="1201" t="s">
        <v>1030</v>
      </c>
    </row>
    <row r="16" spans="2:13" x14ac:dyDescent="0.2">
      <c r="B16" s="1200" t="s">
        <v>941</v>
      </c>
    </row>
    <row r="17" spans="2:12" x14ac:dyDescent="0.2">
      <c r="B17" s="1200" t="s">
        <v>942</v>
      </c>
    </row>
    <row r="18" spans="2:12" x14ac:dyDescent="0.2">
      <c r="B18" s="1200" t="s">
        <v>943</v>
      </c>
    </row>
    <row r="19" spans="2:12" x14ac:dyDescent="0.2">
      <c r="B19" s="1200" t="s">
        <v>944</v>
      </c>
    </row>
    <row r="20" spans="2:12" x14ac:dyDescent="0.2">
      <c r="B20" s="1200" t="s">
        <v>946</v>
      </c>
    </row>
    <row r="21" spans="2:12" x14ac:dyDescent="0.2">
      <c r="B21" s="1200" t="s">
        <v>374</v>
      </c>
    </row>
    <row r="22" spans="2:12" x14ac:dyDescent="0.2">
      <c r="B22" s="1200" t="s">
        <v>945</v>
      </c>
    </row>
    <row r="23" spans="2:12" x14ac:dyDescent="0.2">
      <c r="B23" s="1207" t="s">
        <v>566</v>
      </c>
      <c r="C23" s="1208"/>
      <c r="D23" s="1208"/>
      <c r="F23" s="1208"/>
      <c r="H23" s="1208"/>
      <c r="K23" s="1208"/>
      <c r="L23" s="1203"/>
    </row>
    <row r="24" spans="2:12" x14ac:dyDescent="0.2">
      <c r="B24" s="1207" t="s">
        <v>595</v>
      </c>
      <c r="C24" s="1208"/>
      <c r="D24" s="1208"/>
      <c r="F24" s="1208"/>
      <c r="H24" s="1208"/>
      <c r="K24" s="1208"/>
      <c r="L24" s="1203"/>
    </row>
    <row r="25" spans="2:12" x14ac:dyDescent="0.2">
      <c r="B25" s="1207"/>
      <c r="C25" s="1208"/>
      <c r="D25" s="1208"/>
      <c r="F25" s="1208"/>
      <c r="H25" s="1208"/>
      <c r="K25" s="1208"/>
      <c r="L25" s="1203"/>
    </row>
    <row r="26" spans="2:12" x14ac:dyDescent="0.2">
      <c r="B26" s="1200" t="s">
        <v>562</v>
      </c>
      <c r="F26" s="1208"/>
      <c r="H26" s="1208"/>
      <c r="K26" s="1208"/>
      <c r="L26" s="1203"/>
    </row>
    <row r="27" spans="2:12" x14ac:dyDescent="0.2">
      <c r="F27" s="1208"/>
      <c r="H27" s="1208"/>
      <c r="K27" s="1208"/>
      <c r="L27" s="1203"/>
    </row>
    <row r="28" spans="2:12" x14ac:dyDescent="0.2">
      <c r="B28" s="1209" t="s">
        <v>969</v>
      </c>
      <c r="C28" s="1210">
        <f>(((939833*1)+(450500*2)+(251000*3)+(175833*4)+(1007333*5))*(365/7))/2829500000</f>
        <v>0.15357826723550352</v>
      </c>
      <c r="D28" s="1211" t="s">
        <v>949</v>
      </c>
      <c r="F28" s="1208"/>
      <c r="H28" s="1208"/>
      <c r="K28" s="1208"/>
      <c r="L28" s="1203"/>
    </row>
    <row r="29" spans="2:12" x14ac:dyDescent="0.2">
      <c r="B29" s="1212" t="s">
        <v>1152</v>
      </c>
      <c r="C29" s="1208"/>
      <c r="D29" s="1213" t="s">
        <v>518</v>
      </c>
      <c r="F29" s="1208"/>
      <c r="H29" s="1208"/>
      <c r="K29" s="1208"/>
      <c r="L29" s="1203"/>
    </row>
    <row r="30" spans="2:12" x14ac:dyDescent="0.2">
      <c r="B30" s="1214" t="s">
        <v>939</v>
      </c>
      <c r="C30" s="1210">
        <v>0</v>
      </c>
      <c r="D30" s="1213" t="s">
        <v>947</v>
      </c>
      <c r="F30" s="1208"/>
      <c r="H30" s="1208"/>
      <c r="K30" s="1208"/>
      <c r="L30" s="1203"/>
    </row>
    <row r="31" spans="2:12" x14ac:dyDescent="0.2">
      <c r="B31" s="1212" t="s">
        <v>940</v>
      </c>
      <c r="C31" s="1208"/>
      <c r="D31" s="1213"/>
      <c r="F31" s="1208"/>
      <c r="H31" s="1208"/>
      <c r="K31" s="1208"/>
      <c r="L31" s="1203"/>
    </row>
    <row r="32" spans="2:12" x14ac:dyDescent="0.2">
      <c r="B32" s="1212"/>
      <c r="C32" s="1208"/>
      <c r="D32" s="1208"/>
      <c r="F32" s="1208"/>
      <c r="H32" s="1208"/>
      <c r="K32" s="1208"/>
      <c r="L32" s="1203"/>
    </row>
    <row r="33" spans="2:4" x14ac:dyDescent="0.2">
      <c r="B33" s="1200" t="s">
        <v>365</v>
      </c>
    </row>
    <row r="35" spans="2:4" x14ac:dyDescent="0.2">
      <c r="B35" s="1200" t="s">
        <v>525</v>
      </c>
      <c r="C35" s="1215">
        <f>0.010677/(365/7)</f>
        <v>2.0476438356164384E-4</v>
      </c>
      <c r="D35" s="1216" t="s">
        <v>519</v>
      </c>
    </row>
    <row r="36" spans="2:4" x14ac:dyDescent="0.2">
      <c r="D36" s="1216" t="s">
        <v>520</v>
      </c>
    </row>
    <row r="37" spans="2:4" x14ac:dyDescent="0.2">
      <c r="D37" s="1217" t="s">
        <v>521</v>
      </c>
    </row>
    <row r="38" spans="2:4" x14ac:dyDescent="0.2">
      <c r="B38" s="1200" t="s">
        <v>512</v>
      </c>
      <c r="C38" s="1218">
        <v>60000</v>
      </c>
      <c r="D38" s="1216" t="s">
        <v>950</v>
      </c>
    </row>
    <row r="39" spans="2:4" x14ac:dyDescent="0.2">
      <c r="B39" s="1200" t="s">
        <v>541</v>
      </c>
      <c r="C39" s="1218">
        <f>C35*C38</f>
        <v>12.285863013698631</v>
      </c>
      <c r="D39" s="1216" t="s">
        <v>540</v>
      </c>
    </row>
    <row r="40" spans="2:4" x14ac:dyDescent="0.2">
      <c r="C40" s="1219"/>
      <c r="D40" s="1216"/>
    </row>
    <row r="41" spans="2:4" x14ac:dyDescent="0.2">
      <c r="B41" s="1200" t="s">
        <v>948</v>
      </c>
      <c r="C41" s="1219"/>
      <c r="D41" s="1216"/>
    </row>
    <row r="43" spans="2:4" x14ac:dyDescent="0.2">
      <c r="B43" s="1209" t="s">
        <v>537</v>
      </c>
      <c r="C43" s="1218">
        <f>'G &amp; S Initial'!C32*(1-Values!E14)</f>
        <v>60000</v>
      </c>
      <c r="D43" s="1220" t="str">
        <f>IF(Values!E14="","Please enter % of recreational visits by children in Values sheet so this figure is calculated correctly","")</f>
        <v/>
      </c>
    </row>
    <row r="44" spans="2:4" x14ac:dyDescent="0.2">
      <c r="B44" s="1200" t="s">
        <v>538</v>
      </c>
      <c r="C44" s="1221">
        <f>IF(Values!F32=0,C43*C28,Values!F32)</f>
        <v>9214.696034130211</v>
      </c>
    </row>
    <row r="45" spans="2:4" x14ac:dyDescent="0.2">
      <c r="C45" s="1221"/>
    </row>
    <row r="46" spans="2:4" ht="15.75" x14ac:dyDescent="0.25">
      <c r="B46" s="1202" t="s">
        <v>551</v>
      </c>
      <c r="C46" s="1221"/>
    </row>
    <row r="47" spans="2:4" x14ac:dyDescent="0.2">
      <c r="B47" s="1200" t="s">
        <v>522</v>
      </c>
      <c r="C47" s="1221"/>
    </row>
    <row r="48" spans="2:4" x14ac:dyDescent="0.2">
      <c r="C48" s="1221"/>
    </row>
    <row r="49" spans="1:4" ht="15.75" x14ac:dyDescent="0.25">
      <c r="B49" s="1202" t="s">
        <v>953</v>
      </c>
      <c r="C49" s="1221"/>
    </row>
    <row r="50" spans="1:4" ht="15.75" x14ac:dyDescent="0.25">
      <c r="B50" s="1202"/>
      <c r="C50" s="1221"/>
    </row>
    <row r="51" spans="1:4" x14ac:dyDescent="0.2">
      <c r="B51" s="1216" t="s">
        <v>552</v>
      </c>
      <c r="C51" s="1222">
        <f>C44*C35</f>
        <v>1.886841553136597</v>
      </c>
      <c r="D51" s="1216" t="s">
        <v>539</v>
      </c>
    </row>
    <row r="52" spans="1:4" x14ac:dyDescent="0.2">
      <c r="A52" s="1223"/>
      <c r="B52" s="1224" t="s">
        <v>553</v>
      </c>
      <c r="C52" s="1225">
        <f>C51*C38</f>
        <v>113210.49318819582</v>
      </c>
      <c r="D52" s="1224" t="s">
        <v>554</v>
      </c>
    </row>
    <row r="53" spans="1:4" x14ac:dyDescent="0.2">
      <c r="A53" s="1223"/>
      <c r="B53" s="1224"/>
      <c r="C53" s="1225"/>
      <c r="D53" s="1224"/>
    </row>
    <row r="54" spans="1:4" x14ac:dyDescent="0.2">
      <c r="A54" s="1223"/>
      <c r="B54" s="1226" t="s">
        <v>563</v>
      </c>
      <c r="C54" s="1225"/>
      <c r="D54" s="1224"/>
    </row>
    <row r="55" spans="1:4" x14ac:dyDescent="0.2">
      <c r="A55" s="1223"/>
      <c r="B55" s="1226" t="s">
        <v>579</v>
      </c>
      <c r="C55" s="1225"/>
      <c r="D55" s="1224"/>
    </row>
    <row r="56" spans="1:4" x14ac:dyDescent="0.2">
      <c r="A56" s="1223"/>
      <c r="B56" s="1227" t="s">
        <v>951</v>
      </c>
      <c r="C56" s="1225"/>
      <c r="D56" s="1224"/>
    </row>
    <row r="57" spans="1:4" x14ac:dyDescent="0.2">
      <c r="A57" s="1223"/>
      <c r="B57" s="1227" t="s">
        <v>952</v>
      </c>
      <c r="C57" s="1225"/>
      <c r="D57" s="1224"/>
    </row>
    <row r="58" spans="1:4" x14ac:dyDescent="0.2">
      <c r="A58" s="1223"/>
      <c r="B58" s="1228" t="s">
        <v>1153</v>
      </c>
      <c r="C58" s="1225"/>
      <c r="D58" s="1224"/>
    </row>
    <row r="59" spans="1:4" x14ac:dyDescent="0.2">
      <c r="A59" s="1223"/>
      <c r="B59" s="1229" t="s">
        <v>1154</v>
      </c>
      <c r="C59" s="1225"/>
      <c r="D59" s="1224"/>
    </row>
    <row r="60" spans="1:4" x14ac:dyDescent="0.2">
      <c r="A60" s="1223"/>
      <c r="B60" s="1224" t="s">
        <v>564</v>
      </c>
      <c r="C60" s="1225"/>
      <c r="D60" s="1224"/>
    </row>
    <row r="61" spans="1:4" x14ac:dyDescent="0.2">
      <c r="A61" s="1223"/>
      <c r="B61" s="1229" t="s">
        <v>1102</v>
      </c>
      <c r="C61" s="1225"/>
      <c r="D61" s="1224"/>
    </row>
    <row r="62" spans="1:4" x14ac:dyDescent="0.2">
      <c r="A62" s="1223"/>
      <c r="B62" s="1224" t="s">
        <v>1147</v>
      </c>
      <c r="C62" s="1225"/>
      <c r="D62" s="1224"/>
    </row>
    <row r="63" spans="1:4" x14ac:dyDescent="0.2">
      <c r="A63" s="1223"/>
      <c r="B63" s="1224" t="s">
        <v>565</v>
      </c>
      <c r="C63" s="1225"/>
      <c r="D63" s="1224"/>
    </row>
    <row r="64" spans="1:4" x14ac:dyDescent="0.2">
      <c r="A64" s="1223"/>
      <c r="C64" s="1225"/>
      <c r="D64" s="1224"/>
    </row>
    <row r="65" spans="1:4" ht="15.75" x14ac:dyDescent="0.25">
      <c r="A65" s="1223"/>
      <c r="B65" s="1202" t="s">
        <v>588</v>
      </c>
      <c r="C65" s="1230"/>
    </row>
    <row r="66" spans="1:4" ht="15.75" x14ac:dyDescent="0.25">
      <c r="A66" s="1223"/>
      <c r="B66" s="1202"/>
      <c r="C66" s="1230"/>
    </row>
    <row r="67" spans="1:4" x14ac:dyDescent="0.2">
      <c r="A67" s="1223"/>
      <c r="B67" s="1216" t="s">
        <v>552</v>
      </c>
      <c r="C67" s="1231">
        <f>IF((Values!F27*Values!F30)&gt;0,(Values!F33)*'Health Benefits'!C51,C30*C51)</f>
        <v>0</v>
      </c>
      <c r="D67" s="1216" t="s">
        <v>559</v>
      </c>
    </row>
    <row r="68" spans="1:4" x14ac:dyDescent="0.2">
      <c r="A68" s="1223"/>
      <c r="C68" s="1215"/>
    </row>
    <row r="69" spans="1:4" x14ac:dyDescent="0.2">
      <c r="A69" s="1223"/>
      <c r="B69" s="1224" t="s">
        <v>553</v>
      </c>
      <c r="C69" s="1232">
        <f>C67*C38</f>
        <v>0</v>
      </c>
      <c r="D69" s="1224" t="s">
        <v>544</v>
      </c>
    </row>
    <row r="70" spans="1:4" ht="15.75" x14ac:dyDescent="0.25">
      <c r="A70" s="1223"/>
      <c r="B70" s="1233"/>
      <c r="C70" s="1230"/>
      <c r="D70" s="1202"/>
    </row>
    <row r="71" spans="1:4" ht="15.75" x14ac:dyDescent="0.25">
      <c r="B71" s="1226" t="s">
        <v>563</v>
      </c>
      <c r="C71" s="1234"/>
      <c r="D71" s="1202"/>
    </row>
    <row r="72" spans="1:4" ht="15.75" x14ac:dyDescent="0.25">
      <c r="B72" s="1226" t="s">
        <v>579</v>
      </c>
      <c r="C72" s="1234"/>
      <c r="D72" s="1202"/>
    </row>
    <row r="73" spans="1:4" ht="15.75" x14ac:dyDescent="0.25">
      <c r="B73" s="1229" t="s">
        <v>1155</v>
      </c>
      <c r="C73" s="1234"/>
      <c r="D73" s="1202"/>
    </row>
    <row r="74" spans="1:4" ht="15.75" x14ac:dyDescent="0.25">
      <c r="B74" s="1229" t="s">
        <v>1156</v>
      </c>
      <c r="C74" s="1234"/>
      <c r="D74" s="1202"/>
    </row>
    <row r="75" spans="1:4" ht="15.75" x14ac:dyDescent="0.25">
      <c r="B75" s="1227" t="s">
        <v>580</v>
      </c>
      <c r="C75" s="1234"/>
      <c r="D75" s="1202"/>
    </row>
    <row r="76" spans="1:4" ht="15.75" x14ac:dyDescent="0.25">
      <c r="B76" s="1226" t="s">
        <v>581</v>
      </c>
      <c r="C76" s="1234"/>
      <c r="D76" s="1202"/>
    </row>
    <row r="77" spans="1:4" ht="15.75" x14ac:dyDescent="0.25">
      <c r="B77" s="1235" t="s">
        <v>596</v>
      </c>
      <c r="C77" s="1234"/>
      <c r="D77" s="1202"/>
    </row>
    <row r="78" spans="1:4" ht="15.75" x14ac:dyDescent="0.25">
      <c r="B78" s="1236" t="s">
        <v>582</v>
      </c>
      <c r="C78" s="1234"/>
      <c r="D78" s="1202"/>
    </row>
    <row r="79" spans="1:4" ht="15.75" x14ac:dyDescent="0.25">
      <c r="B79" s="1235" t="s">
        <v>956</v>
      </c>
      <c r="C79" s="1234"/>
      <c r="D79" s="1202"/>
    </row>
    <row r="80" spans="1:4" ht="15.75" x14ac:dyDescent="0.25">
      <c r="B80" s="1226" t="s">
        <v>1148</v>
      </c>
      <c r="C80" s="1234"/>
      <c r="D80" s="1202"/>
    </row>
    <row r="81" spans="2:4" ht="15.75" x14ac:dyDescent="0.25">
      <c r="B81" s="1226" t="s">
        <v>565</v>
      </c>
      <c r="C81" s="1234"/>
      <c r="D81" s="1202"/>
    </row>
    <row r="82" spans="2:4" ht="15.75" x14ac:dyDescent="0.25">
      <c r="B82" s="1223"/>
      <c r="C82" s="1234"/>
      <c r="D82" s="1202"/>
    </row>
    <row r="84" spans="2:4" ht="15.75" x14ac:dyDescent="0.25">
      <c r="B84" s="1201" t="s">
        <v>536</v>
      </c>
    </row>
    <row r="85" spans="2:4" ht="15.75" x14ac:dyDescent="0.25">
      <c r="B85" s="1201"/>
    </row>
    <row r="86" spans="2:4" x14ac:dyDescent="0.2">
      <c r="B86" s="1237" t="s">
        <v>601</v>
      </c>
    </row>
    <row r="87" spans="2:4" x14ac:dyDescent="0.2">
      <c r="B87" s="1237" t="s">
        <v>954</v>
      </c>
    </row>
    <row r="88" spans="2:4" x14ac:dyDescent="0.2">
      <c r="B88" s="1223" t="s">
        <v>955</v>
      </c>
    </row>
    <row r="89" spans="2:4" x14ac:dyDescent="0.2">
      <c r="B89" s="1223" t="s">
        <v>527</v>
      </c>
    </row>
    <row r="90" spans="2:4" x14ac:dyDescent="0.2">
      <c r="B90" s="1223" t="s">
        <v>513</v>
      </c>
    </row>
    <row r="91" spans="2:4" x14ac:dyDescent="0.2">
      <c r="B91" s="1223" t="s">
        <v>375</v>
      </c>
    </row>
    <row r="92" spans="2:4" x14ac:dyDescent="0.2">
      <c r="B92" s="1223" t="s">
        <v>514</v>
      </c>
    </row>
    <row r="93" spans="2:4" x14ac:dyDescent="0.2">
      <c r="B93" s="1223"/>
    </row>
    <row r="94" spans="2:4" x14ac:dyDescent="0.2">
      <c r="B94" s="1223" t="s">
        <v>528</v>
      </c>
      <c r="C94" s="1218">
        <f>1548104*(90.967/100)</f>
        <v>1408263.76568</v>
      </c>
      <c r="D94" s="1216" t="s">
        <v>962</v>
      </c>
    </row>
    <row r="95" spans="2:4" x14ac:dyDescent="0.2">
      <c r="B95" s="1238"/>
    </row>
    <row r="96" spans="2:4" x14ac:dyDescent="0.2">
      <c r="B96" s="1200" t="s">
        <v>562</v>
      </c>
    </row>
    <row r="97" spans="2:6" x14ac:dyDescent="0.2">
      <c r="B97" s="1223" t="s">
        <v>515</v>
      </c>
      <c r="C97" s="1239">
        <f>(1.51+0.869)/3.1</f>
        <v>0.76741935483870971</v>
      </c>
      <c r="D97" s="1211" t="s">
        <v>597</v>
      </c>
    </row>
    <row r="98" spans="2:6" x14ac:dyDescent="0.2">
      <c r="B98" s="1214" t="s">
        <v>957</v>
      </c>
      <c r="C98" s="1240">
        <v>0.08</v>
      </c>
      <c r="D98" s="1213" t="s">
        <v>961</v>
      </c>
    </row>
    <row r="99" spans="2:6" x14ac:dyDescent="0.2">
      <c r="B99" s="1212" t="s">
        <v>578</v>
      </c>
      <c r="C99" s="1208"/>
      <c r="D99" s="1213" t="s">
        <v>960</v>
      </c>
    </row>
    <row r="100" spans="2:6" x14ac:dyDescent="0.2">
      <c r="B100" s="1212"/>
      <c r="C100" s="1208"/>
      <c r="D100" s="1213"/>
    </row>
    <row r="101" spans="2:6" x14ac:dyDescent="0.2">
      <c r="B101" s="1223" t="s">
        <v>571</v>
      </c>
      <c r="D101" s="1241" t="s">
        <v>516</v>
      </c>
    </row>
    <row r="102" spans="2:6" x14ac:dyDescent="0.2">
      <c r="B102" s="1241" t="s">
        <v>593</v>
      </c>
      <c r="D102" s="1242"/>
    </row>
    <row r="103" spans="2:6" x14ac:dyDescent="0.2">
      <c r="B103" s="1223" t="s">
        <v>585</v>
      </c>
      <c r="F103" s="1242"/>
    </row>
    <row r="104" spans="2:6" x14ac:dyDescent="0.2">
      <c r="B104" s="1223" t="s">
        <v>586</v>
      </c>
    </row>
    <row r="105" spans="2:6" x14ac:dyDescent="0.2">
      <c r="B105" s="1223"/>
    </row>
    <row r="106" spans="2:6" x14ac:dyDescent="0.2">
      <c r="B106" s="1223"/>
    </row>
    <row r="107" spans="2:6" ht="15.75" x14ac:dyDescent="0.25">
      <c r="B107" s="1202" t="s">
        <v>587</v>
      </c>
    </row>
    <row r="108" spans="2:6" x14ac:dyDescent="0.2">
      <c r="B108" s="1223" t="s">
        <v>517</v>
      </c>
      <c r="C108" s="1218">
        <f>IF(Values!$E$44&gt;0,Values!E56*(Values!E44),Values!E56*'Health Benefits'!$C$97)</f>
        <v>28500</v>
      </c>
      <c r="D108" s="1243"/>
    </row>
    <row r="109" spans="2:6" ht="15.75" x14ac:dyDescent="0.25">
      <c r="B109" s="1223" t="s">
        <v>542</v>
      </c>
      <c r="C109" s="1244"/>
    </row>
    <row r="110" spans="2:6" x14ac:dyDescent="0.2">
      <c r="B110" s="1245" t="s">
        <v>963</v>
      </c>
      <c r="C110" s="1246">
        <f>(Values!$E$43*Values!E47)/365</f>
        <v>1.0958904109589041E-2</v>
      </c>
    </row>
    <row r="111" spans="2:6" x14ac:dyDescent="0.2">
      <c r="B111" s="1245" t="s">
        <v>530</v>
      </c>
      <c r="C111" s="1247">
        <f>(Values!$E$43*Values!E48)/365</f>
        <v>0</v>
      </c>
    </row>
    <row r="112" spans="2:6" x14ac:dyDescent="0.2">
      <c r="B112" s="1245" t="s">
        <v>531</v>
      </c>
      <c r="C112" s="1247">
        <f>(Values!$E$43*Values!E49)/365</f>
        <v>0</v>
      </c>
      <c r="D112" s="1248"/>
    </row>
    <row r="113" spans="2:4" x14ac:dyDescent="0.2">
      <c r="B113" s="1224"/>
      <c r="C113" s="1219"/>
    </row>
    <row r="114" spans="2:4" ht="15.75" x14ac:dyDescent="0.25">
      <c r="B114" s="1249" t="s">
        <v>551</v>
      </c>
      <c r="C114" s="1219"/>
    </row>
    <row r="115" spans="2:4" x14ac:dyDescent="0.2">
      <c r="B115" s="1226" t="s">
        <v>547</v>
      </c>
      <c r="C115" s="1219"/>
    </row>
    <row r="116" spans="2:4" x14ac:dyDescent="0.2">
      <c r="B116" s="1216" t="s">
        <v>971</v>
      </c>
      <c r="C116" s="1254">
        <v>0.1</v>
      </c>
      <c r="D116" s="1216" t="s">
        <v>555</v>
      </c>
    </row>
    <row r="117" spans="2:4" x14ac:dyDescent="0.2">
      <c r="B117" s="1216" t="s">
        <v>590</v>
      </c>
      <c r="C117" s="1255">
        <v>179000</v>
      </c>
      <c r="D117" s="1216" t="s">
        <v>555</v>
      </c>
    </row>
    <row r="118" spans="2:4" x14ac:dyDescent="0.2">
      <c r="B118" s="1216"/>
      <c r="C118" s="1216"/>
      <c r="D118" s="1216"/>
    </row>
    <row r="119" spans="2:4" x14ac:dyDescent="0.2">
      <c r="B119" s="1226" t="s">
        <v>563</v>
      </c>
      <c r="C119" s="1216"/>
      <c r="D119" s="1216"/>
    </row>
    <row r="120" spans="2:4" x14ac:dyDescent="0.2">
      <c r="B120" s="1226" t="s">
        <v>579</v>
      </c>
      <c r="C120" s="1216"/>
      <c r="D120" s="1216"/>
    </row>
    <row r="121" spans="2:4" x14ac:dyDescent="0.2">
      <c r="B121" s="1227" t="s">
        <v>602</v>
      </c>
      <c r="C121" s="1216"/>
      <c r="D121" s="1216"/>
    </row>
    <row r="122" spans="2:4" x14ac:dyDescent="0.2">
      <c r="B122" s="1227" t="s">
        <v>972</v>
      </c>
      <c r="C122" s="1219"/>
      <c r="D122" s="1216"/>
    </row>
    <row r="123" spans="2:4" x14ac:dyDescent="0.2">
      <c r="B123" s="1251" t="s">
        <v>1103</v>
      </c>
      <c r="C123" s="1219"/>
      <c r="D123" s="1216"/>
    </row>
    <row r="124" spans="2:4" x14ac:dyDescent="0.2">
      <c r="B124" s="1226" t="s">
        <v>1104</v>
      </c>
      <c r="C124" s="1219"/>
      <c r="D124" s="1216"/>
    </row>
    <row r="125" spans="2:4" x14ac:dyDescent="0.2">
      <c r="B125" s="1227" t="s">
        <v>598</v>
      </c>
      <c r="C125" s="1219"/>
      <c r="D125" s="1216"/>
    </row>
    <row r="126" spans="2:4" x14ac:dyDescent="0.2">
      <c r="B126" s="1223" t="s">
        <v>583</v>
      </c>
    </row>
    <row r="127" spans="2:4" x14ac:dyDescent="0.2">
      <c r="B127" s="1223"/>
    </row>
    <row r="128" spans="2:4" ht="15.75" x14ac:dyDescent="0.25">
      <c r="B128" s="1202" t="s">
        <v>600</v>
      </c>
    </row>
    <row r="129" spans="2:5" ht="15.75" x14ac:dyDescent="0.25">
      <c r="B129" s="1202"/>
    </row>
    <row r="130" spans="2:5" ht="15.75" x14ac:dyDescent="0.25">
      <c r="B130" s="1223" t="s">
        <v>968</v>
      </c>
      <c r="E130" s="1202" t="str">
        <f>IF(D133=0,"Yes, do not proceed with making an estimate", "No, proceed with entering the data below in HEAT")</f>
        <v>Yes, do not proceed with making an estimate</v>
      </c>
    </row>
    <row r="131" spans="2:5" ht="15.75" x14ac:dyDescent="0.25">
      <c r="B131" s="1202"/>
    </row>
    <row r="132" spans="2:5" x14ac:dyDescent="0.2">
      <c r="B132" s="1223" t="s">
        <v>964</v>
      </c>
      <c r="D132" s="1205" t="str">
        <f>IF(ISBLANK(Values!E53),"no","yes")</f>
        <v>yes</v>
      </c>
    </row>
    <row r="133" spans="2:5" x14ac:dyDescent="0.2">
      <c r="B133" s="1223" t="s">
        <v>548</v>
      </c>
      <c r="D133" s="1252">
        <f>IF(D132="yes",Values!E58*'Health Benefits'!C108,C108*'Health Benefits'!C98)</f>
        <v>0</v>
      </c>
    </row>
    <row r="134" spans="2:5" x14ac:dyDescent="0.2">
      <c r="B134" s="1223" t="s">
        <v>557</v>
      </c>
      <c r="C134" s="1244"/>
    </row>
    <row r="135" spans="2:5" x14ac:dyDescent="0.2">
      <c r="B135" s="1223"/>
      <c r="C135" s="1244"/>
    </row>
    <row r="136" spans="2:5" ht="15.75" x14ac:dyDescent="0.25">
      <c r="B136" s="1249" t="s">
        <v>551</v>
      </c>
      <c r="C136" s="1244"/>
    </row>
    <row r="137" spans="2:5" x14ac:dyDescent="0.2">
      <c r="B137" s="1226" t="s">
        <v>547</v>
      </c>
      <c r="C137" s="1219"/>
    </row>
    <row r="138" spans="2:5" x14ac:dyDescent="0.2">
      <c r="B138" s="1216" t="s">
        <v>589</v>
      </c>
      <c r="C138" s="1254">
        <v>0</v>
      </c>
      <c r="D138" s="1216" t="s">
        <v>549</v>
      </c>
    </row>
    <row r="139" spans="2:5" x14ac:dyDescent="0.2">
      <c r="B139" s="1216" t="s">
        <v>591</v>
      </c>
      <c r="C139" s="1254">
        <v>0</v>
      </c>
      <c r="D139" s="1216" t="s">
        <v>549</v>
      </c>
    </row>
    <row r="140" spans="2:5" x14ac:dyDescent="0.2">
      <c r="B140" s="1216"/>
      <c r="C140" s="1250"/>
      <c r="D140" s="1216"/>
    </row>
    <row r="141" spans="2:5" x14ac:dyDescent="0.2">
      <c r="B141" s="1253" t="s">
        <v>123</v>
      </c>
      <c r="C141" s="1250"/>
      <c r="D141" s="1216"/>
    </row>
    <row r="142" spans="2:5" ht="15.75" x14ac:dyDescent="0.25">
      <c r="B142" s="1201"/>
    </row>
    <row r="143" spans="2:5" x14ac:dyDescent="0.2">
      <c r="B143" s="1226" t="s">
        <v>563</v>
      </c>
    </row>
    <row r="144" spans="2:5" x14ac:dyDescent="0.2">
      <c r="B144" s="1226" t="s">
        <v>579</v>
      </c>
    </row>
    <row r="145" spans="2:2" x14ac:dyDescent="0.2">
      <c r="B145" s="1227" t="s">
        <v>602</v>
      </c>
    </row>
    <row r="146" spans="2:2" x14ac:dyDescent="0.2">
      <c r="B146" s="1227" t="s">
        <v>972</v>
      </c>
    </row>
    <row r="147" spans="2:2" x14ac:dyDescent="0.2">
      <c r="B147" s="1251" t="s">
        <v>1103</v>
      </c>
    </row>
    <row r="148" spans="2:2" x14ac:dyDescent="0.2">
      <c r="B148" s="1226" t="s">
        <v>1104</v>
      </c>
    </row>
    <row r="149" spans="2:2" x14ac:dyDescent="0.2">
      <c r="B149" s="1227" t="s">
        <v>598</v>
      </c>
    </row>
    <row r="150" spans="2:2" x14ac:dyDescent="0.2">
      <c r="B150" s="1236" t="s">
        <v>584</v>
      </c>
    </row>
    <row r="151" spans="2:2" x14ac:dyDescent="0.2">
      <c r="B151" s="1227" t="s">
        <v>958</v>
      </c>
    </row>
    <row r="152" spans="2:2" x14ac:dyDescent="0.2">
      <c r="B152" s="1227" t="s">
        <v>959</v>
      </c>
    </row>
    <row r="153" spans="2:2" x14ac:dyDescent="0.2">
      <c r="B153" s="1223" t="s">
        <v>583</v>
      </c>
    </row>
    <row r="154" spans="2:2" x14ac:dyDescent="0.2">
      <c r="B154" s="1223"/>
    </row>
    <row r="155" spans="2:2" ht="15.75" x14ac:dyDescent="0.25">
      <c r="B155" s="1201" t="s">
        <v>556</v>
      </c>
    </row>
    <row r="156" spans="2:2" x14ac:dyDescent="0.2">
      <c r="B156" s="1223" t="s">
        <v>569</v>
      </c>
    </row>
    <row r="157" spans="2:2" x14ac:dyDescent="0.2">
      <c r="B157" s="1223" t="s">
        <v>570</v>
      </c>
    </row>
    <row r="158" spans="2:2" x14ac:dyDescent="0.2">
      <c r="B158" s="1223" t="s">
        <v>1149</v>
      </c>
    </row>
    <row r="159" spans="2:2" x14ac:dyDescent="0.2">
      <c r="B159" s="1223" t="s">
        <v>1105</v>
      </c>
    </row>
    <row r="160" spans="2:2" x14ac:dyDescent="0.2">
      <c r="B160" s="1223" t="s">
        <v>599</v>
      </c>
    </row>
    <row r="161" spans="2:2" x14ac:dyDescent="0.2">
      <c r="B161" s="1200" t="s">
        <v>1101</v>
      </c>
    </row>
    <row r="162" spans="2:2" x14ac:dyDescent="0.2">
      <c r="B162" s="1200" t="s">
        <v>376</v>
      </c>
    </row>
  </sheetData>
  <hyperlinks>
    <hyperlink ref="B102" location="'Tip HEAT'!A1" display="How to complete HEAT (which includes details of data to use) - select here"/>
    <hyperlink ref="B10" location="'Health Benefits'!B84" display="Go to Section 2 to enter data in online tool, which will provide estimates of the health benefits."/>
    <hyperlink ref="B141" location="Capitals!A1" display="Go to next sheet"/>
  </hyperlinks>
  <pageMargins left="0.7" right="0.7" top="0.75" bottom="0.75" header="0.3" footer="0.3"/>
  <pageSetup paperSize="9"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BD"/>
  </sheetPr>
  <dimension ref="B2:D113"/>
  <sheetViews>
    <sheetView zoomScale="80" zoomScaleNormal="80" workbookViewId="0"/>
  </sheetViews>
  <sheetFormatPr defaultRowHeight="15" x14ac:dyDescent="0.2"/>
  <cols>
    <col min="1" max="1" width="4.77734375" style="701" customWidth="1"/>
    <col min="2" max="2" width="64" style="701" customWidth="1"/>
    <col min="3" max="3" width="88.77734375" style="701" customWidth="1"/>
    <col min="4" max="16384" width="8.88671875" style="701"/>
  </cols>
  <sheetData>
    <row r="2" spans="2:3" ht="15.75" x14ac:dyDescent="0.2">
      <c r="B2" s="723" t="s">
        <v>1128</v>
      </c>
    </row>
    <row r="4" spans="2:3" ht="15.75" x14ac:dyDescent="0.25">
      <c r="B4" s="716" t="s">
        <v>97</v>
      </c>
    </row>
    <row r="5" spans="2:3" x14ac:dyDescent="0.2">
      <c r="B5" s="701" t="s">
        <v>1085</v>
      </c>
    </row>
    <row r="6" spans="2:3" x14ac:dyDescent="0.2">
      <c r="B6" s="701" t="s">
        <v>1117</v>
      </c>
    </row>
    <row r="8" spans="2:3" x14ac:dyDescent="0.2">
      <c r="B8" s="720" t="s">
        <v>4</v>
      </c>
      <c r="C8" s="721" t="str">
        <f>Focus!C16</f>
        <v>Shapwick Heath NNR</v>
      </c>
    </row>
    <row r="9" spans="2:3" x14ac:dyDescent="0.2">
      <c r="B9" s="720"/>
      <c r="C9" s="721"/>
    </row>
    <row r="10" spans="2:3" x14ac:dyDescent="0.2">
      <c r="B10" s="718" t="s">
        <v>433</v>
      </c>
    </row>
    <row r="11" spans="2:3" x14ac:dyDescent="0.2">
      <c r="B11" s="718" t="s">
        <v>453</v>
      </c>
    </row>
    <row r="12" spans="2:3" x14ac:dyDescent="0.2">
      <c r="B12" s="726" t="s">
        <v>454</v>
      </c>
    </row>
    <row r="13" spans="2:3" x14ac:dyDescent="0.2">
      <c r="B13" s="718"/>
    </row>
    <row r="14" spans="2:3" x14ac:dyDescent="0.2">
      <c r="B14" s="724" t="s">
        <v>1086</v>
      </c>
    </row>
    <row r="16" spans="2:3" x14ac:dyDescent="0.2">
      <c r="B16" s="701" t="s">
        <v>430</v>
      </c>
    </row>
    <row r="17" spans="2:4" x14ac:dyDescent="0.2">
      <c r="B17" s="1260" t="s">
        <v>426</v>
      </c>
    </row>
    <row r="18" spans="2:4" x14ac:dyDescent="0.2">
      <c r="B18" s="1260" t="s">
        <v>451</v>
      </c>
    </row>
    <row r="19" spans="2:4" x14ac:dyDescent="0.2">
      <c r="B19" s="1260" t="s">
        <v>427</v>
      </c>
    </row>
    <row r="20" spans="2:4" x14ac:dyDescent="0.2">
      <c r="B20" s="1260" t="s">
        <v>428</v>
      </c>
    </row>
    <row r="21" spans="2:4" x14ac:dyDescent="0.2">
      <c r="B21" s="1260" t="s">
        <v>429</v>
      </c>
    </row>
    <row r="23" spans="2:4" ht="15.75" x14ac:dyDescent="0.2">
      <c r="B23" s="702" t="s">
        <v>384</v>
      </c>
    </row>
    <row r="24" spans="2:4" x14ac:dyDescent="0.2">
      <c r="B24" s="703"/>
    </row>
    <row r="25" spans="2:4" x14ac:dyDescent="0.2">
      <c r="B25" s="704" t="s">
        <v>382</v>
      </c>
    </row>
    <row r="26" spans="2:4" x14ac:dyDescent="0.2">
      <c r="B26" s="701" t="s">
        <v>383</v>
      </c>
    </row>
    <row r="28" spans="2:4" x14ac:dyDescent="0.2">
      <c r="B28" s="705" t="s">
        <v>435</v>
      </c>
      <c r="C28" s="706" t="s">
        <v>442</v>
      </c>
      <c r="D28" s="707"/>
    </row>
    <row r="29" spans="2:4" ht="42.75" x14ac:dyDescent="0.2">
      <c r="B29" s="708" t="s">
        <v>396</v>
      </c>
      <c r="C29" s="135" t="s">
        <v>476</v>
      </c>
      <c r="D29" s="707"/>
    </row>
    <row r="30" spans="2:4" x14ac:dyDescent="0.2">
      <c r="B30" s="708" t="s">
        <v>378</v>
      </c>
      <c r="C30" s="135" t="s">
        <v>464</v>
      </c>
      <c r="D30" s="707"/>
    </row>
    <row r="31" spans="2:4" ht="28.5" x14ac:dyDescent="0.2">
      <c r="B31" s="708" t="s">
        <v>379</v>
      </c>
      <c r="C31" s="135" t="s">
        <v>465</v>
      </c>
      <c r="D31" s="707"/>
    </row>
    <row r="32" spans="2:4" x14ac:dyDescent="0.2">
      <c r="B32" s="708" t="s">
        <v>380</v>
      </c>
      <c r="C32" s="135" t="s">
        <v>466</v>
      </c>
      <c r="D32" s="707"/>
    </row>
    <row r="33" spans="2:4" x14ac:dyDescent="0.2">
      <c r="B33" s="708" t="s">
        <v>381</v>
      </c>
      <c r="C33" s="135"/>
      <c r="D33" s="707"/>
    </row>
    <row r="34" spans="2:4" x14ac:dyDescent="0.2">
      <c r="B34" s="709"/>
      <c r="C34" s="169"/>
      <c r="D34" s="707"/>
    </row>
    <row r="35" spans="2:4" x14ac:dyDescent="0.2">
      <c r="B35" s="709"/>
      <c r="C35" s="169"/>
      <c r="D35" s="707"/>
    </row>
    <row r="36" spans="2:4" x14ac:dyDescent="0.2">
      <c r="B36" s="707"/>
      <c r="C36" s="707"/>
      <c r="D36" s="707"/>
    </row>
    <row r="37" spans="2:4" ht="15.75" x14ac:dyDescent="0.2">
      <c r="B37" s="710" t="s">
        <v>385</v>
      </c>
      <c r="C37" s="707"/>
      <c r="D37" s="707"/>
    </row>
    <row r="38" spans="2:4" x14ac:dyDescent="0.2">
      <c r="C38" s="707"/>
      <c r="D38" s="707"/>
    </row>
    <row r="39" spans="2:4" x14ac:dyDescent="0.2">
      <c r="B39" s="704" t="s">
        <v>386</v>
      </c>
      <c r="C39" s="707"/>
      <c r="D39" s="707"/>
    </row>
    <row r="40" spans="2:4" x14ac:dyDescent="0.2">
      <c r="B40" s="707"/>
      <c r="C40" s="707"/>
      <c r="D40" s="707"/>
    </row>
    <row r="41" spans="2:4" ht="15.75" x14ac:dyDescent="0.25">
      <c r="B41" s="711" t="s">
        <v>437</v>
      </c>
      <c r="C41" s="706" t="s">
        <v>441</v>
      </c>
      <c r="D41" s="707"/>
    </row>
    <row r="42" spans="2:4" ht="60" x14ac:dyDescent="0.2">
      <c r="B42" s="712" t="s">
        <v>387</v>
      </c>
      <c r="C42" s="727" t="s">
        <v>467</v>
      </c>
    </row>
    <row r="43" spans="2:4" ht="45" x14ac:dyDescent="0.2">
      <c r="B43" s="712" t="s">
        <v>388</v>
      </c>
      <c r="C43" s="727" t="s">
        <v>468</v>
      </c>
    </row>
    <row r="44" spans="2:4" x14ac:dyDescent="0.2">
      <c r="B44" s="712" t="s">
        <v>389</v>
      </c>
      <c r="C44" s="700" t="s">
        <v>455</v>
      </c>
    </row>
    <row r="45" spans="2:4" ht="60" x14ac:dyDescent="0.2">
      <c r="B45" s="712" t="s">
        <v>390</v>
      </c>
      <c r="C45" s="727" t="s">
        <v>456</v>
      </c>
    </row>
    <row r="46" spans="2:4" x14ac:dyDescent="0.2">
      <c r="B46" s="712" t="s">
        <v>391</v>
      </c>
      <c r="C46" s="700" t="s">
        <v>457</v>
      </c>
    </row>
    <row r="47" spans="2:4" ht="30" x14ac:dyDescent="0.2">
      <c r="B47" s="712" t="s">
        <v>392</v>
      </c>
      <c r="C47" s="700"/>
    </row>
    <row r="48" spans="2:4" x14ac:dyDescent="0.2">
      <c r="B48" s="712" t="s">
        <v>393</v>
      </c>
      <c r="C48" s="700" t="s">
        <v>469</v>
      </c>
    </row>
    <row r="49" spans="2:3" ht="75" x14ac:dyDescent="0.2">
      <c r="B49" s="712" t="s">
        <v>394</v>
      </c>
      <c r="C49" s="727" t="s">
        <v>1106</v>
      </c>
    </row>
    <row r="50" spans="2:3" x14ac:dyDescent="0.2">
      <c r="B50" s="712" t="s">
        <v>395</v>
      </c>
      <c r="C50" s="700"/>
    </row>
    <row r="51" spans="2:3" x14ac:dyDescent="0.2">
      <c r="B51" s="712" t="s">
        <v>381</v>
      </c>
      <c r="C51" s="700"/>
    </row>
    <row r="52" spans="2:3" x14ac:dyDescent="0.2">
      <c r="B52" s="712"/>
      <c r="C52" s="700"/>
    </row>
    <row r="53" spans="2:3" x14ac:dyDescent="0.2">
      <c r="B53" s="712"/>
      <c r="C53" s="700"/>
    </row>
    <row r="55" spans="2:3" ht="15.75" x14ac:dyDescent="0.2">
      <c r="B55" s="702" t="s">
        <v>397</v>
      </c>
    </row>
    <row r="57" spans="2:3" x14ac:dyDescent="0.2">
      <c r="B57" s="704" t="s">
        <v>398</v>
      </c>
    </row>
    <row r="58" spans="2:3" x14ac:dyDescent="0.2">
      <c r="B58" s="701" t="s">
        <v>399</v>
      </c>
    </row>
    <row r="60" spans="2:3" ht="15.75" x14ac:dyDescent="0.25">
      <c r="B60" s="713" t="s">
        <v>438</v>
      </c>
      <c r="C60" s="706" t="s">
        <v>436</v>
      </c>
    </row>
    <row r="61" spans="2:3" ht="30" x14ac:dyDescent="0.2">
      <c r="B61" s="712" t="s">
        <v>400</v>
      </c>
      <c r="C61" s="727"/>
    </row>
    <row r="62" spans="2:3" ht="30" x14ac:dyDescent="0.2">
      <c r="B62" s="712" t="s">
        <v>401</v>
      </c>
      <c r="C62" s="727" t="s">
        <v>458</v>
      </c>
    </row>
    <row r="63" spans="2:3" x14ac:dyDescent="0.2">
      <c r="B63" s="712" t="s">
        <v>402</v>
      </c>
      <c r="C63" s="700"/>
    </row>
    <row r="64" spans="2:3" x14ac:dyDescent="0.2">
      <c r="B64" s="712" t="s">
        <v>403</v>
      </c>
      <c r="C64" s="700" t="s">
        <v>462</v>
      </c>
    </row>
    <row r="65" spans="2:3" x14ac:dyDescent="0.2">
      <c r="B65" s="712" t="s">
        <v>404</v>
      </c>
      <c r="C65" s="700"/>
    </row>
    <row r="66" spans="2:3" x14ac:dyDescent="0.2">
      <c r="B66" s="712" t="s">
        <v>405</v>
      </c>
      <c r="C66" s="700" t="s">
        <v>463</v>
      </c>
    </row>
    <row r="67" spans="2:3" ht="30" x14ac:dyDescent="0.2">
      <c r="B67" s="712" t="s">
        <v>406</v>
      </c>
      <c r="C67" s="727" t="s">
        <v>459</v>
      </c>
    </row>
    <row r="68" spans="2:3" ht="45" x14ac:dyDescent="0.2">
      <c r="B68" s="712" t="s">
        <v>408</v>
      </c>
      <c r="C68" s="727" t="s">
        <v>1107</v>
      </c>
    </row>
    <row r="69" spans="2:3" ht="90" x14ac:dyDescent="0.2">
      <c r="B69" s="712" t="s">
        <v>409</v>
      </c>
      <c r="C69" s="727" t="s">
        <v>1108</v>
      </c>
    </row>
    <row r="70" spans="2:3" x14ac:dyDescent="0.2">
      <c r="B70" s="712" t="s">
        <v>407</v>
      </c>
      <c r="C70" s="700"/>
    </row>
    <row r="71" spans="2:3" x14ac:dyDescent="0.2">
      <c r="B71" s="712" t="s">
        <v>381</v>
      </c>
      <c r="C71" s="700"/>
    </row>
    <row r="72" spans="2:3" x14ac:dyDescent="0.2">
      <c r="B72" s="712"/>
      <c r="C72" s="700"/>
    </row>
    <row r="73" spans="2:3" x14ac:dyDescent="0.2">
      <c r="B73" s="712"/>
      <c r="C73" s="700"/>
    </row>
    <row r="75" spans="2:3" ht="15.75" x14ac:dyDescent="0.2">
      <c r="B75" s="702" t="s">
        <v>410</v>
      </c>
    </row>
    <row r="77" spans="2:3" x14ac:dyDescent="0.2">
      <c r="B77" s="714" t="s">
        <v>411</v>
      </c>
    </row>
    <row r="78" spans="2:3" x14ac:dyDescent="0.2">
      <c r="B78" s="701" t="s">
        <v>412</v>
      </c>
    </row>
    <row r="80" spans="2:3" x14ac:dyDescent="0.2">
      <c r="B80" s="701" t="s">
        <v>434</v>
      </c>
    </row>
    <row r="81" spans="2:3" x14ac:dyDescent="0.2">
      <c r="B81" s="701" t="s">
        <v>1084</v>
      </c>
    </row>
    <row r="83" spans="2:3" ht="15.75" x14ac:dyDescent="0.25">
      <c r="B83" s="715" t="s">
        <v>439</v>
      </c>
      <c r="C83" s="706" t="s">
        <v>443</v>
      </c>
    </row>
    <row r="84" spans="2:3" x14ac:dyDescent="0.2">
      <c r="B84" s="712" t="s">
        <v>413</v>
      </c>
      <c r="C84" s="700"/>
    </row>
    <row r="85" spans="2:3" ht="30" x14ac:dyDescent="0.2">
      <c r="B85" s="712" t="s">
        <v>414</v>
      </c>
      <c r="C85" s="700" t="s">
        <v>475</v>
      </c>
    </row>
    <row r="86" spans="2:3" ht="75" x14ac:dyDescent="0.2">
      <c r="B86" s="712" t="s">
        <v>415</v>
      </c>
      <c r="C86" s="727" t="s">
        <v>498</v>
      </c>
    </row>
    <row r="87" spans="2:3" ht="45" x14ac:dyDescent="0.2">
      <c r="B87" s="712" t="s">
        <v>416</v>
      </c>
      <c r="C87" s="727" t="s">
        <v>499</v>
      </c>
    </row>
    <row r="88" spans="2:3" ht="30" x14ac:dyDescent="0.2">
      <c r="B88" s="712" t="s">
        <v>417</v>
      </c>
      <c r="C88" s="727" t="s">
        <v>461</v>
      </c>
    </row>
    <row r="89" spans="2:3" x14ac:dyDescent="0.2">
      <c r="B89" s="712" t="s">
        <v>418</v>
      </c>
      <c r="C89" s="700" t="s">
        <v>460</v>
      </c>
    </row>
    <row r="90" spans="2:3" x14ac:dyDescent="0.2">
      <c r="B90" s="712" t="s">
        <v>419</v>
      </c>
      <c r="C90" s="700"/>
    </row>
    <row r="91" spans="2:3" x14ac:dyDescent="0.2">
      <c r="B91" s="712" t="s">
        <v>381</v>
      </c>
      <c r="C91" s="700"/>
    </row>
    <row r="92" spans="2:3" x14ac:dyDescent="0.2">
      <c r="B92" s="712"/>
      <c r="C92" s="700"/>
    </row>
    <row r="93" spans="2:3" x14ac:dyDescent="0.2">
      <c r="B93" s="712"/>
      <c r="C93" s="700"/>
    </row>
    <row r="95" spans="2:3" ht="15.75" x14ac:dyDescent="0.25">
      <c r="B95" s="716" t="s">
        <v>377</v>
      </c>
    </row>
    <row r="97" spans="2:3" x14ac:dyDescent="0.2">
      <c r="B97" s="717" t="s">
        <v>420</v>
      </c>
    </row>
    <row r="98" spans="2:3" x14ac:dyDescent="0.2">
      <c r="B98" s="701" t="s">
        <v>421</v>
      </c>
    </row>
    <row r="100" spans="2:3" ht="15.75" x14ac:dyDescent="0.25">
      <c r="B100" s="713" t="s">
        <v>440</v>
      </c>
      <c r="C100" s="706" t="s">
        <v>444</v>
      </c>
    </row>
    <row r="101" spans="2:3" x14ac:dyDescent="0.2">
      <c r="B101" s="712" t="s">
        <v>422</v>
      </c>
      <c r="C101" s="700" t="s">
        <v>473</v>
      </c>
    </row>
    <row r="102" spans="2:3" ht="30" x14ac:dyDescent="0.2">
      <c r="B102" s="712" t="s">
        <v>424</v>
      </c>
      <c r="C102" s="700"/>
    </row>
    <row r="103" spans="2:3" x14ac:dyDescent="0.2">
      <c r="B103" s="712" t="s">
        <v>425</v>
      </c>
      <c r="C103" s="700"/>
    </row>
    <row r="104" spans="2:3" x14ac:dyDescent="0.2">
      <c r="B104" s="712" t="s">
        <v>423</v>
      </c>
      <c r="C104" s="700" t="s">
        <v>474</v>
      </c>
    </row>
    <row r="105" spans="2:3" x14ac:dyDescent="0.2">
      <c r="B105" s="712" t="s">
        <v>381</v>
      </c>
      <c r="C105" s="700"/>
    </row>
    <row r="106" spans="2:3" x14ac:dyDescent="0.2">
      <c r="B106" s="712"/>
      <c r="C106" s="700"/>
    </row>
    <row r="107" spans="2:3" x14ac:dyDescent="0.2">
      <c r="B107" s="712"/>
      <c r="C107" s="700"/>
    </row>
    <row r="109" spans="2:3" x14ac:dyDescent="0.2">
      <c r="B109" s="1199" t="s">
        <v>1132</v>
      </c>
    </row>
    <row r="111" spans="2:3" ht="15.75" x14ac:dyDescent="0.25">
      <c r="B111" s="725" t="s">
        <v>358</v>
      </c>
    </row>
    <row r="113" spans="2:2" x14ac:dyDescent="0.2">
      <c r="B113" s="724" t="s">
        <v>450</v>
      </c>
    </row>
  </sheetData>
  <hyperlinks>
    <hyperlink ref="B17" location="Capitals!B23" display="Produced capital eg machinery, buildings."/>
    <hyperlink ref="B18" location="Capitals!B37" display="Human capital eg people's skills and experience."/>
    <hyperlink ref="B19" location="Capitals!B55" display="Social capital eg networks, voluntary organisations."/>
    <hyperlink ref="B20" location="Capitals!B75" display="Natural capital eg waste assimilation by the environment, timber."/>
    <hyperlink ref="B21" location="Capitals!B95" display="Financial capital eg money, bonds."/>
    <hyperlink ref="B12" location="'Tip Capitals'!A1" display="Click here to see some examples."/>
  </hyperlink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BV90"/>
  <sheetViews>
    <sheetView zoomScale="80" zoomScaleNormal="80" workbookViewId="0"/>
  </sheetViews>
  <sheetFormatPr defaultRowHeight="14.25" x14ac:dyDescent="0.2"/>
  <cols>
    <col min="1" max="1" width="4.77734375" style="11" customWidth="1"/>
    <col min="2" max="2" width="26.6640625" style="11" customWidth="1"/>
    <col min="3" max="22" width="10.33203125" style="11" customWidth="1"/>
    <col min="23" max="23" width="16.6640625" style="11" customWidth="1"/>
    <col min="24" max="24" width="23.77734375" style="11" customWidth="1"/>
    <col min="25" max="25" width="33.77734375" style="11" customWidth="1"/>
    <col min="26" max="16384" width="8.88671875" style="11"/>
  </cols>
  <sheetData>
    <row r="2" spans="2:74" ht="18" x14ac:dyDescent="0.25">
      <c r="B2" s="52" t="s">
        <v>75</v>
      </c>
    </row>
    <row r="3" spans="2:74" x14ac:dyDescent="0.2">
      <c r="BV3" s="11" t="s">
        <v>63</v>
      </c>
    </row>
    <row r="4" spans="2:74" ht="15.75" x14ac:dyDescent="0.25">
      <c r="B4" s="53" t="s">
        <v>316</v>
      </c>
      <c r="BV4" s="54" t="s">
        <v>62</v>
      </c>
    </row>
    <row r="5" spans="2:74" x14ac:dyDescent="0.2">
      <c r="B5" s="105"/>
      <c r="BV5" s="54" t="s">
        <v>61</v>
      </c>
    </row>
    <row r="6" spans="2:74" ht="15" x14ac:dyDescent="0.25">
      <c r="B6" s="68" t="s">
        <v>85</v>
      </c>
      <c r="BV6" s="54"/>
    </row>
    <row r="7" spans="2:74" x14ac:dyDescent="0.2">
      <c r="B7" s="195" t="s">
        <v>1087</v>
      </c>
      <c r="BV7" s="54"/>
    </row>
    <row r="8" spans="2:74" x14ac:dyDescent="0.2">
      <c r="B8" s="897" t="s">
        <v>899</v>
      </c>
      <c r="BV8" s="54"/>
    </row>
    <row r="9" spans="2:74" x14ac:dyDescent="0.2">
      <c r="B9" s="897"/>
      <c r="BV9" s="54"/>
    </row>
    <row r="10" spans="2:74" x14ac:dyDescent="0.2">
      <c r="B10" s="897" t="s">
        <v>1088</v>
      </c>
      <c r="BV10" s="54"/>
    </row>
    <row r="11" spans="2:74" x14ac:dyDescent="0.2">
      <c r="B11" s="11" t="s">
        <v>102</v>
      </c>
      <c r="BV11" s="54"/>
    </row>
    <row r="12" spans="2:74" x14ac:dyDescent="0.2">
      <c r="B12" s="11" t="s">
        <v>829</v>
      </c>
      <c r="BV12" s="54"/>
    </row>
    <row r="13" spans="2:74" x14ac:dyDescent="0.2">
      <c r="BV13" s="54"/>
    </row>
    <row r="14" spans="2:74" x14ac:dyDescent="0.2">
      <c r="B14" s="897" t="s">
        <v>830</v>
      </c>
      <c r="BV14" s="54"/>
    </row>
    <row r="15" spans="2:74" x14ac:dyDescent="0.2">
      <c r="B15" s="195"/>
      <c r="BV15" s="54"/>
    </row>
    <row r="16" spans="2:74" x14ac:dyDescent="0.2">
      <c r="B16" s="55" t="s">
        <v>1</v>
      </c>
      <c r="C16" s="71" t="str">
        <f>Focus!C16</f>
        <v>Shapwick Heath NNR</v>
      </c>
      <c r="BV16" s="54"/>
    </row>
    <row r="17" spans="2:74" x14ac:dyDescent="0.2">
      <c r="B17" s="55"/>
      <c r="C17" s="71"/>
      <c r="BV17" s="54"/>
    </row>
    <row r="18" spans="2:74" x14ac:dyDescent="0.2">
      <c r="B18" s="896" t="s">
        <v>1089</v>
      </c>
      <c r="C18" s="71"/>
      <c r="BV18" s="54"/>
    </row>
    <row r="20" spans="2:74" ht="15" x14ac:dyDescent="0.25">
      <c r="C20" s="1288" t="s">
        <v>155</v>
      </c>
      <c r="D20" s="1289"/>
      <c r="E20" s="1289"/>
      <c r="F20" s="1289"/>
      <c r="G20" s="1289"/>
      <c r="H20" s="1289"/>
      <c r="I20" s="1289"/>
      <c r="J20" s="1289"/>
      <c r="K20" s="1289"/>
      <c r="L20" s="1289"/>
      <c r="M20" s="1289"/>
      <c r="N20" s="1289"/>
      <c r="O20" s="1289"/>
      <c r="P20" s="1289"/>
      <c r="Q20" s="1289"/>
      <c r="R20" s="1289"/>
      <c r="S20" s="1289"/>
      <c r="T20" s="1289"/>
      <c r="U20" s="1289"/>
      <c r="V20" s="1289"/>
      <c r="W20" s="900" t="s">
        <v>817</v>
      </c>
      <c r="X20" s="68" t="s">
        <v>819</v>
      </c>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row>
    <row r="21" spans="2:74" ht="15" x14ac:dyDescent="0.25">
      <c r="B21" s="56" t="s">
        <v>56</v>
      </c>
      <c r="C21" s="623" t="str">
        <f>'G &amp; S Projections'!E18</f>
        <v>2017</v>
      </c>
      <c r="D21" s="624">
        <f>'G &amp; S Projections'!F18</f>
        <v>2018</v>
      </c>
      <c r="E21" s="624">
        <f>'G &amp; S Projections'!G18</f>
        <v>2019</v>
      </c>
      <c r="F21" s="624">
        <f>'G &amp; S Projections'!H18</f>
        <v>2020</v>
      </c>
      <c r="G21" s="624">
        <f>'G &amp; S Projections'!I18</f>
        <v>2021</v>
      </c>
      <c r="H21" s="624">
        <f>'G &amp; S Projections'!J18</f>
        <v>2022</v>
      </c>
      <c r="I21" s="624">
        <f>'G &amp; S Projections'!K18</f>
        <v>2023</v>
      </c>
      <c r="J21" s="624">
        <f>'G &amp; S Projections'!L18</f>
        <v>2024</v>
      </c>
      <c r="K21" s="624">
        <f>'G &amp; S Projections'!M18</f>
        <v>2025</v>
      </c>
      <c r="L21" s="624">
        <f>'G &amp; S Projections'!N18</f>
        <v>2026</v>
      </c>
      <c r="M21" s="624">
        <f>'G &amp; S Projections'!O18</f>
        <v>2027</v>
      </c>
      <c r="N21" s="624">
        <f>'G &amp; S Projections'!P18</f>
        <v>2028</v>
      </c>
      <c r="O21" s="624">
        <f>'G &amp; S Projections'!Q18</f>
        <v>2029</v>
      </c>
      <c r="P21" s="624">
        <f>'G &amp; S Projections'!R18</f>
        <v>2030</v>
      </c>
      <c r="Q21" s="624">
        <f>'G &amp; S Projections'!S18</f>
        <v>2031</v>
      </c>
      <c r="R21" s="624">
        <f>'G &amp; S Projections'!T18</f>
        <v>2032</v>
      </c>
      <c r="S21" s="624">
        <f>'G &amp; S Projections'!U18</f>
        <v>2033</v>
      </c>
      <c r="T21" s="624">
        <f>'G &amp; S Projections'!V18</f>
        <v>2034</v>
      </c>
      <c r="U21" s="624">
        <f>'G &amp; S Projections'!W18</f>
        <v>2035</v>
      </c>
      <c r="V21" s="624">
        <f>'G &amp; S Projections'!X18</f>
        <v>2036</v>
      </c>
      <c r="W21" s="917" t="s">
        <v>818</v>
      </c>
      <c r="X21" s="898" t="s">
        <v>820</v>
      </c>
      <c r="Y21" s="938" t="s">
        <v>54</v>
      </c>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row>
    <row r="22" spans="2:74" ht="15" x14ac:dyDescent="0.25">
      <c r="B22" s="57" t="s">
        <v>16</v>
      </c>
      <c r="C22" s="58"/>
      <c r="D22" s="59"/>
      <c r="E22" s="59"/>
      <c r="F22" s="59"/>
      <c r="G22" s="59"/>
      <c r="H22" s="59"/>
      <c r="I22" s="59"/>
      <c r="J22" s="59"/>
      <c r="K22" s="59"/>
      <c r="L22" s="59"/>
      <c r="M22" s="59"/>
      <c r="N22" s="59"/>
      <c r="O22" s="59"/>
      <c r="P22" s="59"/>
      <c r="Q22" s="59"/>
      <c r="R22" s="59"/>
      <c r="S22" s="59"/>
      <c r="T22" s="59"/>
      <c r="U22" s="59"/>
      <c r="V22" s="59"/>
      <c r="W22" s="903"/>
      <c r="X22" s="59"/>
      <c r="Y22" s="939"/>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row>
    <row r="23" spans="2:74" x14ac:dyDescent="0.2">
      <c r="B23" s="60" t="str">
        <f>Values!B88</f>
        <v>Deer sales via stalker</v>
      </c>
      <c r="C23" s="13">
        <f>'G &amp; S Projections'!E20*Values!$H$88</f>
        <v>0</v>
      </c>
      <c r="D23" s="13">
        <f>'G &amp; S Projections'!F20*Values!$H$88</f>
        <v>0</v>
      </c>
      <c r="E23" s="13">
        <f>'G &amp; S Projections'!G20*Values!$H$88</f>
        <v>0</v>
      </c>
      <c r="F23" s="13">
        <f>'G &amp; S Projections'!H20*Values!$H$88</f>
        <v>0</v>
      </c>
      <c r="G23" s="13">
        <f>'G &amp; S Projections'!I20*Values!$H$88</f>
        <v>0</v>
      </c>
      <c r="H23" s="13">
        <f>'G &amp; S Projections'!J20*Values!$H$88</f>
        <v>0</v>
      </c>
      <c r="I23" s="13">
        <f>'G &amp; S Projections'!K20*Values!$H$88</f>
        <v>0</v>
      </c>
      <c r="J23" s="13">
        <f>'G &amp; S Projections'!L20*Values!$H$88</f>
        <v>0</v>
      </c>
      <c r="K23" s="13">
        <f>'G &amp; S Projections'!M20*Values!$H$88</f>
        <v>0</v>
      </c>
      <c r="L23" s="13">
        <f>'G &amp; S Projections'!N20*Values!$H$88</f>
        <v>0</v>
      </c>
      <c r="M23" s="13">
        <f>'G &amp; S Projections'!O20*Values!$H$88</f>
        <v>0</v>
      </c>
      <c r="N23" s="13">
        <f>'G &amp; S Projections'!P20*Values!$H$88</f>
        <v>0</v>
      </c>
      <c r="O23" s="13">
        <f>'G &amp; S Projections'!Q20*Values!$H$88</f>
        <v>0</v>
      </c>
      <c r="P23" s="13">
        <f>'G &amp; S Projections'!R20*Values!$H$88</f>
        <v>0</v>
      </c>
      <c r="Q23" s="13">
        <f>'G &amp; S Projections'!S20*Values!$H$88</f>
        <v>0</v>
      </c>
      <c r="R23" s="13">
        <f>'G &amp; S Projections'!T20*Values!$H$88</f>
        <v>0</v>
      </c>
      <c r="S23" s="13">
        <f>'G &amp; S Projections'!U20*Values!$H$88</f>
        <v>0</v>
      </c>
      <c r="T23" s="13">
        <f>'G &amp; S Projections'!V20*Values!$H$88</f>
        <v>0</v>
      </c>
      <c r="U23" s="13">
        <f>'G &amp; S Projections'!W20*Values!$H$88</f>
        <v>0</v>
      </c>
      <c r="V23" s="13">
        <f>'G &amp; S Projections'!X20*Values!$H$88</f>
        <v>0</v>
      </c>
      <c r="W23" s="900"/>
      <c r="X23" s="909"/>
      <c r="Y23" s="944" t="str">
        <f>Values!C88</f>
        <v>NE &amp;/or others who pay NE for it</v>
      </c>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row>
    <row r="24" spans="2:74" ht="28.5" x14ac:dyDescent="0.2">
      <c r="B24" s="60" t="str">
        <f>Values!B89</f>
        <v>Firewood (wholesale bags) £5 per bag</v>
      </c>
      <c r="C24" s="13">
        <f>'G &amp; S Projections'!E21*Values!$H$89</f>
        <v>220</v>
      </c>
      <c r="D24" s="13">
        <f>'G &amp; S Projections'!F21*Values!$H$89</f>
        <v>220</v>
      </c>
      <c r="E24" s="13">
        <f>'G &amp; S Projections'!G21*Values!$H$89</f>
        <v>220</v>
      </c>
      <c r="F24" s="13">
        <f>'G &amp; S Projections'!H21*Values!$H$89</f>
        <v>220</v>
      </c>
      <c r="G24" s="13">
        <f>'G &amp; S Projections'!I21*Values!$H$89</f>
        <v>220</v>
      </c>
      <c r="H24" s="13">
        <f>'G &amp; S Projections'!J21*Values!$H$89</f>
        <v>220</v>
      </c>
      <c r="I24" s="13">
        <f>'G &amp; S Projections'!K21*Values!$H$89</f>
        <v>220</v>
      </c>
      <c r="J24" s="13">
        <f>'G &amp; S Projections'!L21*Values!$H$89</f>
        <v>220</v>
      </c>
      <c r="K24" s="13">
        <f>'G &amp; S Projections'!M21*Values!$H$89</f>
        <v>220</v>
      </c>
      <c r="L24" s="13">
        <f>'G &amp; S Projections'!N21*Values!$H$89</f>
        <v>220</v>
      </c>
      <c r="M24" s="13">
        <f>'G &amp; S Projections'!O21*Values!$H$89</f>
        <v>220</v>
      </c>
      <c r="N24" s="13">
        <f>'G &amp; S Projections'!P21*Values!$H$89</f>
        <v>220</v>
      </c>
      <c r="O24" s="13">
        <f>'G &amp; S Projections'!Q21*Values!$H$89</f>
        <v>220</v>
      </c>
      <c r="P24" s="13">
        <f>'G &amp; S Projections'!R21*Values!$H$89</f>
        <v>220</v>
      </c>
      <c r="Q24" s="13">
        <f>'G &amp; S Projections'!S21*Values!$H$89</f>
        <v>220</v>
      </c>
      <c r="R24" s="13">
        <f>'G &amp; S Projections'!T21*Values!$H$89</f>
        <v>220</v>
      </c>
      <c r="S24" s="13">
        <f>'G &amp; S Projections'!U21*Values!$H$89</f>
        <v>220</v>
      </c>
      <c r="T24" s="13">
        <f>'G &amp; S Projections'!V21*Values!$H$89</f>
        <v>220</v>
      </c>
      <c r="U24" s="13">
        <f>'G &amp; S Projections'!W21*Values!$H$89</f>
        <v>220</v>
      </c>
      <c r="V24" s="13">
        <f>'G &amp; S Projections'!X21*Values!$H$89</f>
        <v>220</v>
      </c>
      <c r="W24" s="906">
        <f>(V24/$C$66)*$C$67</f>
        <v>3269.5500538597544</v>
      </c>
      <c r="X24" s="910">
        <f>NPV($C$66,D24:V24)+C24+W24</f>
        <v>6505.7142857142935</v>
      </c>
      <c r="Y24" s="944" t="str">
        <f>Values!C89</f>
        <v>NE &amp;/or others who pay NE for it</v>
      </c>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row>
    <row r="25" spans="2:74" ht="28.5" x14ac:dyDescent="0.2">
      <c r="B25" s="60" t="str">
        <f>Values!B90</f>
        <v>Firewood (bags retail- Earthfare) £3.50 per bag</v>
      </c>
      <c r="C25" s="13">
        <f>'G &amp; S Projections'!E22*Values!$H$90</f>
        <v>430.5</v>
      </c>
      <c r="D25" s="13">
        <f>'G &amp; S Projections'!F22*Values!$H$90</f>
        <v>430.5</v>
      </c>
      <c r="E25" s="13">
        <f>'G &amp; S Projections'!G22*Values!$H$90</f>
        <v>430.5</v>
      </c>
      <c r="F25" s="13">
        <f>'G &amp; S Projections'!H22*Values!$H$90</f>
        <v>430.5</v>
      </c>
      <c r="G25" s="13">
        <f>'G &amp; S Projections'!I22*Values!$H$90</f>
        <v>430.5</v>
      </c>
      <c r="H25" s="13">
        <f>'G &amp; S Projections'!J22*Values!$H$90</f>
        <v>430.5</v>
      </c>
      <c r="I25" s="13">
        <f>'G &amp; S Projections'!K22*Values!$H$90</f>
        <v>430.5</v>
      </c>
      <c r="J25" s="13">
        <f>'G &amp; S Projections'!L22*Values!$H$90</f>
        <v>430.5</v>
      </c>
      <c r="K25" s="13">
        <f>'G &amp; S Projections'!M22*Values!$H$90</f>
        <v>430.5</v>
      </c>
      <c r="L25" s="13">
        <f>'G &amp; S Projections'!N22*Values!$H$90</f>
        <v>430.5</v>
      </c>
      <c r="M25" s="13">
        <f>'G &amp; S Projections'!O22*Values!$H$90</f>
        <v>430.5</v>
      </c>
      <c r="N25" s="13">
        <f>'G &amp; S Projections'!P22*Values!$H$90</f>
        <v>430.5</v>
      </c>
      <c r="O25" s="13">
        <f>'G &amp; S Projections'!Q22*Values!$H$90</f>
        <v>430.5</v>
      </c>
      <c r="P25" s="13">
        <f>'G &amp; S Projections'!R22*Values!$H$90</f>
        <v>430.5</v>
      </c>
      <c r="Q25" s="13">
        <f>'G &amp; S Projections'!S22*Values!$H$90</f>
        <v>430.5</v>
      </c>
      <c r="R25" s="13">
        <f>'G &amp; S Projections'!T22*Values!$H$90</f>
        <v>430.5</v>
      </c>
      <c r="S25" s="13">
        <f>'G &amp; S Projections'!U22*Values!$H$90</f>
        <v>430.5</v>
      </c>
      <c r="T25" s="13">
        <f>'G &amp; S Projections'!V22*Values!$H$90</f>
        <v>430.5</v>
      </c>
      <c r="U25" s="13">
        <f>'G &amp; S Projections'!W22*Values!$H$90</f>
        <v>430.5</v>
      </c>
      <c r="V25" s="13">
        <f>'G &amp; S Projections'!X22*Values!$H$90</f>
        <v>430.5</v>
      </c>
      <c r="W25" s="906">
        <f>(V25/$C$66)*$C$67</f>
        <v>6397.9149917573823</v>
      </c>
      <c r="X25" s="910">
        <f t="shared" ref="X25:X30" si="0">NPV($C$66,D25:V25)+C25+W25</f>
        <v>12730.500000000015</v>
      </c>
      <c r="Y25" s="944" t="str">
        <f>Values!C90</f>
        <v>NE &amp;/or others who pay NE for it</v>
      </c>
      <c r="Z25" s="889"/>
      <c r="AA25" s="889"/>
      <c r="AB25" s="889"/>
      <c r="AC25" s="889"/>
      <c r="AD25" s="889"/>
      <c r="AE25" s="889"/>
      <c r="AF25" s="889"/>
      <c r="AG25" s="889"/>
      <c r="AH25" s="889"/>
      <c r="AI25" s="889"/>
      <c r="AJ25" s="889"/>
      <c r="AK25" s="889"/>
      <c r="AL25" s="889"/>
      <c r="AM25" s="889"/>
      <c r="AN25" s="889"/>
      <c r="AO25" s="889"/>
      <c r="AP25" s="889"/>
      <c r="AQ25" s="889"/>
      <c r="AR25" s="889"/>
      <c r="AS25" s="889"/>
      <c r="AT25" s="889"/>
      <c r="AU25" s="889"/>
      <c r="AV25" s="889"/>
      <c r="AW25" s="889"/>
      <c r="AX25" s="889"/>
    </row>
    <row r="26" spans="2:74" ht="28.5" x14ac:dyDescent="0.2">
      <c r="B26" s="60" t="str">
        <f>Values!B91</f>
        <v>Firewood (bags, retail - other stores) £3.75 per bag</v>
      </c>
      <c r="C26" s="13">
        <f>'G &amp; S Projections'!E23*Values!$H$91</f>
        <v>157.5</v>
      </c>
      <c r="D26" s="13">
        <f>'G &amp; S Projections'!F23*Values!$H$91</f>
        <v>0</v>
      </c>
      <c r="E26" s="13">
        <f>'G &amp; S Projections'!G23*Values!$H$91</f>
        <v>0</v>
      </c>
      <c r="F26" s="13">
        <f>'G &amp; S Projections'!H23*Values!$H$91</f>
        <v>0</v>
      </c>
      <c r="G26" s="13">
        <f>'G &amp; S Projections'!I23*Values!$H$91</f>
        <v>0</v>
      </c>
      <c r="H26" s="13">
        <f>'G &amp; S Projections'!J23*Values!$H$91</f>
        <v>0</v>
      </c>
      <c r="I26" s="13">
        <f>'G &amp; S Projections'!K23*Values!$H$91</f>
        <v>0</v>
      </c>
      <c r="J26" s="13">
        <f>'G &amp; S Projections'!L23*Values!$H$91</f>
        <v>0</v>
      </c>
      <c r="K26" s="13">
        <f>'G &amp; S Projections'!M23*Values!$H$91</f>
        <v>0</v>
      </c>
      <c r="L26" s="13">
        <f>'G &amp; S Projections'!N23*Values!$H$91</f>
        <v>0</v>
      </c>
      <c r="M26" s="13">
        <f>'G &amp; S Projections'!O23*Values!$H$91</f>
        <v>0</v>
      </c>
      <c r="N26" s="13">
        <f>'G &amp; S Projections'!P23*Values!$H$91</f>
        <v>0</v>
      </c>
      <c r="O26" s="13">
        <f>'G &amp; S Projections'!Q23*Values!$H$91</f>
        <v>0</v>
      </c>
      <c r="P26" s="13">
        <f>'G &amp; S Projections'!R23*Values!$H$91</f>
        <v>0</v>
      </c>
      <c r="Q26" s="13">
        <f>'G &amp; S Projections'!S23*Values!$H$91</f>
        <v>0</v>
      </c>
      <c r="R26" s="13">
        <f>'G &amp; S Projections'!T23*Values!$H$91</f>
        <v>0</v>
      </c>
      <c r="S26" s="13">
        <f>'G &amp; S Projections'!U23*Values!$H$91</f>
        <v>0</v>
      </c>
      <c r="T26" s="13">
        <f>'G &amp; S Projections'!V23*Values!$H$91</f>
        <v>0</v>
      </c>
      <c r="U26" s="13">
        <f>'G &amp; S Projections'!W23*Values!$H$91</f>
        <v>0</v>
      </c>
      <c r="V26" s="13">
        <f>'G &amp; S Projections'!X23*Values!$H$91</f>
        <v>0</v>
      </c>
      <c r="W26" s="906"/>
      <c r="X26" s="910">
        <f t="shared" si="0"/>
        <v>157.5</v>
      </c>
      <c r="Y26" s="944" t="str">
        <f>Values!C91</f>
        <v>NE &amp;/or others who pay NE for it</v>
      </c>
      <c r="Z26" s="889"/>
      <c r="AA26" s="889"/>
      <c r="AB26" s="889"/>
      <c r="AC26" s="889"/>
      <c r="AD26" s="889"/>
      <c r="AE26" s="889"/>
      <c r="AF26" s="889"/>
      <c r="AG26" s="889"/>
      <c r="AH26" s="889"/>
      <c r="AI26" s="889"/>
      <c r="AJ26" s="889"/>
      <c r="AK26" s="889"/>
      <c r="AL26" s="889"/>
      <c r="AM26" s="889"/>
      <c r="AN26" s="889"/>
      <c r="AO26" s="889"/>
      <c r="AP26" s="889"/>
      <c r="AQ26" s="889"/>
      <c r="AR26" s="889"/>
      <c r="AS26" s="889"/>
      <c r="AT26" s="889"/>
      <c r="AU26" s="889"/>
      <c r="AV26" s="889"/>
      <c r="AW26" s="889"/>
      <c r="AX26" s="889"/>
    </row>
    <row r="27" spans="2:74" ht="28.5" x14ac:dyDescent="0.2">
      <c r="B27" s="60" t="str">
        <f>Values!B92</f>
        <v>Firewood (1 whole loose loads) £100 per load</v>
      </c>
      <c r="C27" s="13">
        <f>'G &amp; S Projections'!E24*Values!$H$92</f>
        <v>400</v>
      </c>
      <c r="D27" s="13">
        <f>'G &amp; S Projections'!F24*Values!$H$92</f>
        <v>1000</v>
      </c>
      <c r="E27" s="13">
        <f>'G &amp; S Projections'!G24*Values!$H$92</f>
        <v>1000</v>
      </c>
      <c r="F27" s="13">
        <f>'G &amp; S Projections'!H24*Values!$H$92</f>
        <v>1000</v>
      </c>
      <c r="G27" s="13">
        <f>'G &amp; S Projections'!I24*Values!$H$92</f>
        <v>1000</v>
      </c>
      <c r="H27" s="13">
        <f>'G &amp; S Projections'!J24*Values!$H$92</f>
        <v>1000</v>
      </c>
      <c r="I27" s="13">
        <f>'G &amp; S Projections'!K24*Values!$H$92</f>
        <v>1000</v>
      </c>
      <c r="J27" s="13">
        <f>'G &amp; S Projections'!L24*Values!$H$92</f>
        <v>1000</v>
      </c>
      <c r="K27" s="13">
        <f>'G &amp; S Projections'!M24*Values!$H$92</f>
        <v>1000</v>
      </c>
      <c r="L27" s="13">
        <f>'G &amp; S Projections'!N24*Values!$H$92</f>
        <v>1000</v>
      </c>
      <c r="M27" s="13">
        <f>'G &amp; S Projections'!O24*Values!$H$92</f>
        <v>1000</v>
      </c>
      <c r="N27" s="13">
        <f>'G &amp; S Projections'!P24*Values!$H$92</f>
        <v>1000</v>
      </c>
      <c r="O27" s="13">
        <f>'G &amp; S Projections'!Q24*Values!$H$92</f>
        <v>1000</v>
      </c>
      <c r="P27" s="13">
        <f>'G &amp; S Projections'!R24*Values!$H$92</f>
        <v>1000</v>
      </c>
      <c r="Q27" s="13">
        <f>'G &amp; S Projections'!S24*Values!$H$92</f>
        <v>1000</v>
      </c>
      <c r="R27" s="13">
        <f>'G &amp; S Projections'!T24*Values!$H$92</f>
        <v>1000</v>
      </c>
      <c r="S27" s="13">
        <f>'G &amp; S Projections'!U24*Values!$H$92</f>
        <v>1000</v>
      </c>
      <c r="T27" s="13">
        <f>'G &amp; S Projections'!V24*Values!$H$92</f>
        <v>1000</v>
      </c>
      <c r="U27" s="13">
        <f>'G &amp; S Projections'!W24*Values!$H$92</f>
        <v>1000</v>
      </c>
      <c r="V27" s="13">
        <f>'G &amp; S Projections'!X24*Values!$H$92</f>
        <v>1000</v>
      </c>
      <c r="W27" s="906">
        <f>(V27/$C$66)*$C$67</f>
        <v>14861.591153907973</v>
      </c>
      <c r="X27" s="910">
        <f t="shared" si="0"/>
        <v>28971.428571428602</v>
      </c>
      <c r="Y27" s="944" t="str">
        <f>Values!C92</f>
        <v>NE &amp;/or others who pay NE for it</v>
      </c>
      <c r="Z27" s="889"/>
      <c r="AA27" s="889"/>
      <c r="AB27" s="889"/>
      <c r="AC27" s="889"/>
      <c r="AD27" s="889"/>
      <c r="AE27" s="889"/>
      <c r="AF27" s="889"/>
      <c r="AG27" s="889"/>
      <c r="AH27" s="889"/>
      <c r="AI27" s="889"/>
      <c r="AJ27" s="889"/>
      <c r="AK27" s="889"/>
      <c r="AL27" s="889"/>
      <c r="AM27" s="889"/>
      <c r="AN27" s="889"/>
      <c r="AO27" s="889"/>
      <c r="AP27" s="889"/>
      <c r="AQ27" s="889"/>
      <c r="AR27" s="889"/>
      <c r="AS27" s="889"/>
      <c r="AT27" s="889"/>
      <c r="AU27" s="889"/>
      <c r="AV27" s="889"/>
      <c r="AW27" s="889"/>
      <c r="AX27" s="889"/>
    </row>
    <row r="28" spans="2:74" ht="28.5" x14ac:dyDescent="0.2">
      <c r="B28" s="60" t="str">
        <f>Values!B93</f>
        <v>Firewood (half a loose load) £50 per load</v>
      </c>
      <c r="C28" s="13">
        <f>'G &amp; S Projections'!E25*Values!$H$93</f>
        <v>50</v>
      </c>
      <c r="D28" s="13">
        <f>'G &amp; S Projections'!F25*Values!$H$93</f>
        <v>50</v>
      </c>
      <c r="E28" s="13">
        <f>'G &amp; S Projections'!G25*Values!$H$93</f>
        <v>50</v>
      </c>
      <c r="F28" s="13">
        <f>'G &amp; S Projections'!H25*Values!$H$93</f>
        <v>50</v>
      </c>
      <c r="G28" s="13">
        <f>'G &amp; S Projections'!I25*Values!$H$93</f>
        <v>50</v>
      </c>
      <c r="H28" s="13">
        <f>'G &amp; S Projections'!J25*Values!$H$93</f>
        <v>50</v>
      </c>
      <c r="I28" s="13">
        <f>'G &amp; S Projections'!K25*Values!$H$93</f>
        <v>50</v>
      </c>
      <c r="J28" s="13">
        <f>'G &amp; S Projections'!L25*Values!$H$93</f>
        <v>50</v>
      </c>
      <c r="K28" s="13">
        <f>'G &amp; S Projections'!M25*Values!$H$93</f>
        <v>50</v>
      </c>
      <c r="L28" s="13">
        <f>'G &amp; S Projections'!N25*Values!$H$93</f>
        <v>50</v>
      </c>
      <c r="M28" s="13">
        <f>'G &amp; S Projections'!O25*Values!$H$93</f>
        <v>50</v>
      </c>
      <c r="N28" s="13">
        <f>'G &amp; S Projections'!P25*Values!$H$93</f>
        <v>50</v>
      </c>
      <c r="O28" s="13">
        <f>'G &amp; S Projections'!Q25*Values!$H$93</f>
        <v>50</v>
      </c>
      <c r="P28" s="13">
        <f>'G &amp; S Projections'!R25*Values!$H$93</f>
        <v>50</v>
      </c>
      <c r="Q28" s="13">
        <f>'G &amp; S Projections'!S25*Values!$H$93</f>
        <v>50</v>
      </c>
      <c r="R28" s="13">
        <f>'G &amp; S Projections'!T25*Values!$H$93</f>
        <v>50</v>
      </c>
      <c r="S28" s="13">
        <f>'G &amp; S Projections'!U25*Values!$H$93</f>
        <v>50</v>
      </c>
      <c r="T28" s="13">
        <f>'G &amp; S Projections'!V25*Values!$H$93</f>
        <v>50</v>
      </c>
      <c r="U28" s="13">
        <f>'G &amp; S Projections'!W25*Values!$H$93</f>
        <v>50</v>
      </c>
      <c r="V28" s="13">
        <f>'G &amp; S Projections'!X25*Values!$H$93</f>
        <v>50</v>
      </c>
      <c r="W28" s="906">
        <f>(V28/$C$66)*$C$67</f>
        <v>743.07955769539865</v>
      </c>
      <c r="X28" s="910">
        <f t="shared" si="0"/>
        <v>1478.5714285714303</v>
      </c>
      <c r="Y28" s="944" t="str">
        <f>Values!C93</f>
        <v>NE &amp;/or others who pay NE for it</v>
      </c>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row>
    <row r="29" spans="2:74" ht="28.5" x14ac:dyDescent="0.2">
      <c r="B29" s="60" t="str">
        <f>Values!B94</f>
        <v>Firewood (1/3 of a loose load) £40 per load</v>
      </c>
      <c r="C29" s="13">
        <f>'G &amp; S Projections'!E26*Values!$H$94</f>
        <v>80</v>
      </c>
      <c r="D29" s="13">
        <f>'G &amp; S Projections'!F26*Values!$H$94</f>
        <v>80</v>
      </c>
      <c r="E29" s="13">
        <f>'G &amp; S Projections'!G26*Values!$H$94</f>
        <v>80</v>
      </c>
      <c r="F29" s="13">
        <f>'G &amp; S Projections'!H26*Values!$H$94</f>
        <v>80</v>
      </c>
      <c r="G29" s="13">
        <f>'G &amp; S Projections'!I26*Values!$H$94</f>
        <v>80</v>
      </c>
      <c r="H29" s="13">
        <f>'G &amp; S Projections'!J26*Values!$H$94</f>
        <v>80</v>
      </c>
      <c r="I29" s="13">
        <f>'G &amp; S Projections'!K26*Values!$H$94</f>
        <v>80</v>
      </c>
      <c r="J29" s="13">
        <f>'G &amp; S Projections'!L26*Values!$H$94</f>
        <v>80</v>
      </c>
      <c r="K29" s="13">
        <f>'G &amp; S Projections'!M26*Values!$H$94</f>
        <v>80</v>
      </c>
      <c r="L29" s="13">
        <f>'G &amp; S Projections'!N26*Values!$H$94</f>
        <v>80</v>
      </c>
      <c r="M29" s="13">
        <f>'G &amp; S Projections'!O26*Values!$H$94</f>
        <v>80</v>
      </c>
      <c r="N29" s="13">
        <f>'G &amp; S Projections'!P26*Values!$H$94</f>
        <v>80</v>
      </c>
      <c r="O29" s="13">
        <f>'G &amp; S Projections'!Q26*Values!$H$94</f>
        <v>80</v>
      </c>
      <c r="P29" s="13">
        <f>'G &amp; S Projections'!R26*Values!$H$94</f>
        <v>80</v>
      </c>
      <c r="Q29" s="13">
        <f>'G &amp; S Projections'!S26*Values!$H$94</f>
        <v>80</v>
      </c>
      <c r="R29" s="13">
        <f>'G &amp; S Projections'!T26*Values!$H$94</f>
        <v>80</v>
      </c>
      <c r="S29" s="13">
        <f>'G &amp; S Projections'!U26*Values!$H$94</f>
        <v>80</v>
      </c>
      <c r="T29" s="13">
        <f>'G &amp; S Projections'!V26*Values!$H$94</f>
        <v>80</v>
      </c>
      <c r="U29" s="13">
        <f>'G &amp; S Projections'!W26*Values!$H$94</f>
        <v>80</v>
      </c>
      <c r="V29" s="13">
        <f>'G &amp; S Projections'!X26*Values!$H$94</f>
        <v>80</v>
      </c>
      <c r="W29" s="906">
        <f>(V29/$C$66)*$C$67</f>
        <v>1188.9272923126377</v>
      </c>
      <c r="X29" s="910">
        <f t="shared" si="0"/>
        <v>2365.7142857142881</v>
      </c>
      <c r="Y29" s="944" t="str">
        <f>Values!C94</f>
        <v>NE &amp;/or others who pay NE for it</v>
      </c>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89"/>
    </row>
    <row r="30" spans="2:74" ht="28.5" x14ac:dyDescent="0.2">
      <c r="B30" s="60" t="str">
        <f>Values!B95</f>
        <v>Firewood (1/4 of a loose load) £25 per load</v>
      </c>
      <c r="C30" s="13">
        <f>'G &amp; S Projections'!E27*Values!$H$95</f>
        <v>25</v>
      </c>
      <c r="D30" s="13">
        <f>'G &amp; S Projections'!F27*Values!$H$95</f>
        <v>25</v>
      </c>
      <c r="E30" s="13">
        <f>'G &amp; S Projections'!G27*Values!$H$95</f>
        <v>25</v>
      </c>
      <c r="F30" s="13">
        <f>'G &amp; S Projections'!H27*Values!$H$95</f>
        <v>25</v>
      </c>
      <c r="G30" s="13">
        <f>'G &amp; S Projections'!I27*Values!$H$95</f>
        <v>25</v>
      </c>
      <c r="H30" s="13">
        <f>'G &amp; S Projections'!J27*Values!$H$95</f>
        <v>25</v>
      </c>
      <c r="I30" s="13">
        <f>'G &amp; S Projections'!K27*Values!$H$95</f>
        <v>25</v>
      </c>
      <c r="J30" s="13">
        <f>'G &amp; S Projections'!L27*Values!$H$95</f>
        <v>25</v>
      </c>
      <c r="K30" s="13">
        <f>'G &amp; S Projections'!M27*Values!$H$95</f>
        <v>25</v>
      </c>
      <c r="L30" s="13">
        <f>'G &amp; S Projections'!N27*Values!$H$95</f>
        <v>25</v>
      </c>
      <c r="M30" s="13">
        <f>'G &amp; S Projections'!O27*Values!$H$95</f>
        <v>25</v>
      </c>
      <c r="N30" s="13">
        <f>'G &amp; S Projections'!P27*Values!$H$95</f>
        <v>25</v>
      </c>
      <c r="O30" s="13">
        <f>'G &amp; S Projections'!Q27*Values!$H$95</f>
        <v>25</v>
      </c>
      <c r="P30" s="13">
        <f>'G &amp; S Projections'!R27*Values!$H$95</f>
        <v>25</v>
      </c>
      <c r="Q30" s="13">
        <f>'G &amp; S Projections'!S27*Values!$H$95</f>
        <v>25</v>
      </c>
      <c r="R30" s="13">
        <f>'G &amp; S Projections'!T27*Values!$H$95</f>
        <v>25</v>
      </c>
      <c r="S30" s="13">
        <f>'G &amp; S Projections'!U27*Values!$H$95</f>
        <v>25</v>
      </c>
      <c r="T30" s="13">
        <f>'G &amp; S Projections'!V27*Values!$H$95</f>
        <v>25</v>
      </c>
      <c r="U30" s="13">
        <f>'G &amp; S Projections'!W27*Values!$H$95</f>
        <v>25</v>
      </c>
      <c r="V30" s="13">
        <f>'G &amp; S Projections'!X27*Values!$H$95</f>
        <v>25</v>
      </c>
      <c r="W30" s="906">
        <f>(V30/$C$66)*$C$67</f>
        <v>371.53977884769932</v>
      </c>
      <c r="X30" s="910">
        <f t="shared" si="0"/>
        <v>739.28571428571513</v>
      </c>
      <c r="Y30" s="944" t="str">
        <f>Values!C95</f>
        <v>NE &amp;/or others who pay NE for it</v>
      </c>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row>
    <row r="31" spans="2:74" ht="15" x14ac:dyDescent="0.2">
      <c r="B31" s="61" t="s">
        <v>51</v>
      </c>
      <c r="C31" s="62"/>
      <c r="D31" s="62"/>
      <c r="E31" s="62"/>
      <c r="F31" s="62"/>
      <c r="G31" s="62"/>
      <c r="H31" s="62"/>
      <c r="I31" s="62"/>
      <c r="J31" s="62"/>
      <c r="K31" s="62"/>
      <c r="L31" s="62"/>
      <c r="M31" s="62"/>
      <c r="N31" s="62"/>
      <c r="O31" s="62"/>
      <c r="P31" s="62"/>
      <c r="Q31" s="62"/>
      <c r="R31" s="62"/>
      <c r="S31" s="62"/>
      <c r="T31" s="62"/>
      <c r="U31" s="62"/>
      <c r="V31" s="62"/>
      <c r="W31" s="904">
        <f>(V31/$C$66)*$C$66</f>
        <v>0</v>
      </c>
      <c r="X31" s="62"/>
      <c r="Y31" s="941"/>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row>
    <row r="32" spans="2:74" x14ac:dyDescent="0.2">
      <c r="B32" s="60" t="str">
        <f>Values!B97</f>
        <v>Net carbon flux.</v>
      </c>
      <c r="C32" s="13">
        <f>-'G &amp; S Projections'!E29*Values!E245</f>
        <v>45845.779762998922</v>
      </c>
      <c r="D32" s="13">
        <f>-'G &amp; S Projections'!F29*Values!F245</f>
        <v>46533.466459443902</v>
      </c>
      <c r="E32" s="13">
        <f>-'G &amp; S Projections'!G29*Values!G245</f>
        <v>47231.468456335562</v>
      </c>
      <c r="F32" s="13">
        <f>-'G &amp; S Projections'!H29*Values!H245</f>
        <v>47939.940483180595</v>
      </c>
      <c r="G32" s="13">
        <f>-'G &amp; S Projections'!I29*Values!I245</f>
        <v>48738.939491233599</v>
      </c>
      <c r="H32" s="13">
        <f>-'G &amp; S Projections'!J29*Values!J245</f>
        <v>49537.938499286611</v>
      </c>
      <c r="I32" s="13">
        <f>-'G &amp; S Projections'!K29*Values!K245</f>
        <v>50336.93750733963</v>
      </c>
      <c r="J32" s="13">
        <f>-'G &amp; S Projections'!L29*Values!L245</f>
        <v>51135.936515392626</v>
      </c>
      <c r="K32" s="13">
        <f>-'G &amp; S Projections'!M29*Values!M245</f>
        <v>51934.935523445645</v>
      </c>
      <c r="L32" s="13">
        <f>-'G &amp; S Projections'!N29*Values!N245</f>
        <v>52733.934531498649</v>
      </c>
      <c r="M32" s="13">
        <f>-'G &amp; S Projections'!O29*Values!O245</f>
        <v>53532.933539551661</v>
      </c>
      <c r="N32" s="13">
        <f>-'G &amp; S Projections'!P29*Values!P245</f>
        <v>54331.932547604672</v>
      </c>
      <c r="O32" s="13">
        <f>-'G &amp; S Projections'!Q29*Values!Q245</f>
        <v>55130.931555657677</v>
      </c>
      <c r="P32" s="13">
        <f>-'G &amp; S Projections'!R29*Values!R245</f>
        <v>55929.930563710695</v>
      </c>
      <c r="Q32" s="13">
        <f>-'G &amp; S Projections'!S29*Values!S245</f>
        <v>61123.424116055256</v>
      </c>
      <c r="R32" s="13">
        <f>-'G &amp; S Projections'!T29*Values!T245</f>
        <v>66316.917668399823</v>
      </c>
      <c r="S32" s="13">
        <f>-'G &amp; S Projections'!U29*Values!U245</f>
        <v>71510.411220744383</v>
      </c>
      <c r="T32" s="13">
        <f>-'G &amp; S Projections'!V29*Values!V245</f>
        <v>76703.904773088943</v>
      </c>
      <c r="U32" s="13">
        <f>-'G &amp; S Projections'!W29*Values!W245</f>
        <v>81897.398325433518</v>
      </c>
      <c r="V32" s="13">
        <f>-'G &amp; S Projections'!X29*Values!X245</f>
        <v>87090.891877778078</v>
      </c>
      <c r="W32" s="906">
        <f>(V32/$C$66)*$C$67</f>
        <v>1294309.2283167425</v>
      </c>
      <c r="X32" s="910">
        <f>NPV($C$66,D32:V32)+C32+W32</f>
        <v>2114029.6053291755</v>
      </c>
      <c r="Y32" s="940" t="str">
        <f>Values!C97</f>
        <v>Mostly others who don't pay NE for it</v>
      </c>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row>
    <row r="33" spans="2:50" x14ac:dyDescent="0.2">
      <c r="B33" s="60">
        <f>Values!B98</f>
        <v>0</v>
      </c>
      <c r="C33" s="13"/>
      <c r="D33" s="13"/>
      <c r="E33" s="13"/>
      <c r="F33" s="13"/>
      <c r="G33" s="13"/>
      <c r="H33" s="13"/>
      <c r="I33" s="13"/>
      <c r="J33" s="13"/>
      <c r="K33" s="13"/>
      <c r="L33" s="13"/>
      <c r="M33" s="13"/>
      <c r="N33" s="13"/>
      <c r="O33" s="13"/>
      <c r="P33" s="13"/>
      <c r="Q33" s="13"/>
      <c r="R33" s="13"/>
      <c r="S33" s="13"/>
      <c r="T33" s="13"/>
      <c r="U33" s="13"/>
      <c r="V33" s="13"/>
      <c r="W33" s="906">
        <f>(V33/$C$66)*$C$66</f>
        <v>0</v>
      </c>
      <c r="X33" s="13"/>
      <c r="Y33" s="940"/>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row>
    <row r="34" spans="2:50" x14ac:dyDescent="0.2">
      <c r="B34" s="60">
        <f>Values!B99</f>
        <v>0</v>
      </c>
      <c r="C34" s="13"/>
      <c r="D34" s="13"/>
      <c r="E34" s="13"/>
      <c r="F34" s="13"/>
      <c r="G34" s="13"/>
      <c r="H34" s="13"/>
      <c r="I34" s="13"/>
      <c r="J34" s="13"/>
      <c r="K34" s="13"/>
      <c r="L34" s="13"/>
      <c r="M34" s="13"/>
      <c r="N34" s="13"/>
      <c r="O34" s="13"/>
      <c r="P34" s="13"/>
      <c r="Q34" s="13"/>
      <c r="R34" s="13"/>
      <c r="S34" s="13"/>
      <c r="T34" s="13"/>
      <c r="U34" s="13"/>
      <c r="V34" s="13"/>
      <c r="W34" s="906">
        <f>(V34/$C$66)*$C$66</f>
        <v>0</v>
      </c>
      <c r="X34" s="13"/>
      <c r="Y34" s="940"/>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row>
    <row r="35" spans="2:50" x14ac:dyDescent="0.2">
      <c r="B35" s="60">
        <f>Values!B100</f>
        <v>0</v>
      </c>
      <c r="C35" s="13"/>
      <c r="D35" s="13"/>
      <c r="E35" s="13"/>
      <c r="F35" s="13"/>
      <c r="G35" s="13"/>
      <c r="H35" s="13"/>
      <c r="I35" s="13"/>
      <c r="J35" s="13"/>
      <c r="K35" s="13"/>
      <c r="L35" s="13"/>
      <c r="M35" s="13"/>
      <c r="N35" s="13"/>
      <c r="O35" s="13"/>
      <c r="P35" s="13"/>
      <c r="Q35" s="13"/>
      <c r="R35" s="13"/>
      <c r="S35" s="13"/>
      <c r="T35" s="13"/>
      <c r="U35" s="13"/>
      <c r="V35" s="13"/>
      <c r="W35" s="906">
        <f>(V35/$C$66)*$C$66</f>
        <v>0</v>
      </c>
      <c r="X35" s="13"/>
      <c r="Y35" s="940"/>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row>
    <row r="36" spans="2:50" x14ac:dyDescent="0.2">
      <c r="B36" s="60">
        <f>Values!B101</f>
        <v>0</v>
      </c>
      <c r="C36" s="13"/>
      <c r="D36" s="13"/>
      <c r="E36" s="13"/>
      <c r="F36" s="13"/>
      <c r="G36" s="13"/>
      <c r="H36" s="13"/>
      <c r="I36" s="13"/>
      <c r="J36" s="13"/>
      <c r="K36" s="13"/>
      <c r="L36" s="13"/>
      <c r="M36" s="13"/>
      <c r="N36" s="13"/>
      <c r="O36" s="13"/>
      <c r="P36" s="13"/>
      <c r="Q36" s="13"/>
      <c r="R36" s="13"/>
      <c r="S36" s="13"/>
      <c r="T36" s="13"/>
      <c r="U36" s="13"/>
      <c r="V36" s="13"/>
      <c r="W36" s="906">
        <f>(V36/$C$66)*$C$66</f>
        <v>0</v>
      </c>
      <c r="X36" s="13"/>
      <c r="Y36" s="940"/>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row>
    <row r="37" spans="2:50" ht="15" x14ac:dyDescent="0.2">
      <c r="B37" s="63" t="s">
        <v>17</v>
      </c>
      <c r="C37" s="64"/>
      <c r="D37" s="64"/>
      <c r="E37" s="64"/>
      <c r="F37" s="64"/>
      <c r="G37" s="64"/>
      <c r="H37" s="64"/>
      <c r="I37" s="64"/>
      <c r="J37" s="64"/>
      <c r="K37" s="64"/>
      <c r="L37" s="64"/>
      <c r="M37" s="64"/>
      <c r="N37" s="64"/>
      <c r="O37" s="64"/>
      <c r="P37" s="64"/>
      <c r="Q37" s="64"/>
      <c r="R37" s="64"/>
      <c r="S37" s="64"/>
      <c r="T37" s="64"/>
      <c r="U37" s="64"/>
      <c r="V37" s="64"/>
      <c r="W37" s="905">
        <f>(V37/$C$66)*$C$66</f>
        <v>0</v>
      </c>
      <c r="X37" s="64"/>
      <c r="Y37" s="942"/>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row>
    <row r="38" spans="2:50" x14ac:dyDescent="0.2">
      <c r="B38" s="60" t="str">
        <f>Values!B103</f>
        <v>Recreational visits.</v>
      </c>
      <c r="C38" s="13">
        <f>'G &amp; S Projections'!E35*(1-Values!$E$14)*Values!$G$161</f>
        <v>300600</v>
      </c>
      <c r="D38" s="13">
        <f>'G &amp; S Projections'!F35*(1-Values!$E$14)*Values!$G$161</f>
        <v>300600</v>
      </c>
      <c r="E38" s="13">
        <f>'G &amp; S Projections'!G35*(1-Values!$E$14)*Values!$G$161</f>
        <v>300600</v>
      </c>
      <c r="F38" s="13">
        <f>'G &amp; S Projections'!H35*(1-Values!$E$14)*Values!$G$161</f>
        <v>300600</v>
      </c>
      <c r="G38" s="13">
        <f>'G &amp; S Projections'!I35*(1-Values!$E$14)*Values!$G$161</f>
        <v>300600</v>
      </c>
      <c r="H38" s="13">
        <f>'G &amp; S Projections'!J35*(1-Values!$E$14)*Values!$G$161</f>
        <v>300600</v>
      </c>
      <c r="I38" s="13">
        <f>'G &amp; S Projections'!K35*(1-Values!$E$14)*Values!$G$161</f>
        <v>300600</v>
      </c>
      <c r="J38" s="13">
        <f>'G &amp; S Projections'!L35*(1-Values!$E$14)*Values!$G$161</f>
        <v>300600</v>
      </c>
      <c r="K38" s="13">
        <f>'G &amp; S Projections'!M35*(1-Values!$E$14)*Values!$G$161</f>
        <v>300600</v>
      </c>
      <c r="L38" s="13">
        <f>'G &amp; S Projections'!N35*(1-Values!$E$14)*Values!$G$161</f>
        <v>300600</v>
      </c>
      <c r="M38" s="13">
        <f>'G &amp; S Projections'!O35*(1-Values!$E$14)*Values!$G$161</f>
        <v>300600</v>
      </c>
      <c r="N38" s="13">
        <f>'G &amp; S Projections'!P35*(1-Values!$E$14)*Values!$G$161</f>
        <v>300600</v>
      </c>
      <c r="O38" s="13">
        <f>'G &amp; S Projections'!Q35*(1-Values!$E$14)*Values!$G$161</f>
        <v>300600</v>
      </c>
      <c r="P38" s="13">
        <f>'G &amp; S Projections'!R35*(1-Values!$E$14)*Values!$G$161</f>
        <v>300600</v>
      </c>
      <c r="Q38" s="13">
        <f>'G &amp; S Projections'!S35*(1-Values!$E$14)*Values!$G$161</f>
        <v>300600</v>
      </c>
      <c r="R38" s="13">
        <f>'G &amp; S Projections'!T35*(1-Values!$E$14)*Values!$G$161</f>
        <v>300600</v>
      </c>
      <c r="S38" s="13">
        <f>'G &amp; S Projections'!U35*(1-Values!$E$14)*Values!$G$161</f>
        <v>300600</v>
      </c>
      <c r="T38" s="13">
        <f>'G &amp; S Projections'!V35*(1-Values!$E$14)*Values!$G$161</f>
        <v>300600</v>
      </c>
      <c r="U38" s="13">
        <f>'G &amp; S Projections'!W35*(1-Values!$E$14)*Values!$G$161</f>
        <v>300600</v>
      </c>
      <c r="V38" s="13">
        <f>'G &amp; S Projections'!X35*(1-Values!$E$14)*Values!$G$161</f>
        <v>300600</v>
      </c>
      <c r="W38" s="906">
        <f>(V38/$C$66)*$C$67</f>
        <v>4467394.3008647365</v>
      </c>
      <c r="X38" s="910">
        <f>NPV($C$66,D38:V38)+C38+W38</f>
        <v>8889171.4285714366</v>
      </c>
      <c r="Y38" s="940" t="str">
        <f>Values!C103</f>
        <v>Mostly others who don't pay NE for it</v>
      </c>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row>
    <row r="39" spans="2:50" ht="42.75" x14ac:dyDescent="0.2">
      <c r="B39" s="60" t="str">
        <f>Values!B104</f>
        <v xml:space="preserve">Educational visits by school pupils that have educational input from NNR staff or volunteers. </v>
      </c>
      <c r="C39" s="13">
        <f>'G &amp; S Projections'!E36*Values!$I$191</f>
        <v>1286.6300000000001</v>
      </c>
      <c r="D39" s="13">
        <f>'G &amp; S Projections'!F36*Values!$I$191</f>
        <v>1286.6300000000001</v>
      </c>
      <c r="E39" s="13">
        <f>'G &amp; S Projections'!G36*Values!$I$191</f>
        <v>1286.6300000000001</v>
      </c>
      <c r="F39" s="13">
        <f>'G &amp; S Projections'!H36*Values!$I$191</f>
        <v>1286.6300000000001</v>
      </c>
      <c r="G39" s="13">
        <f>'G &amp; S Projections'!I36*Values!$I$191</f>
        <v>1286.6300000000001</v>
      </c>
      <c r="H39" s="13">
        <f>'G &amp; S Projections'!J36*Values!$I$191</f>
        <v>1286.6300000000001</v>
      </c>
      <c r="I39" s="13">
        <f>'G &amp; S Projections'!K36*Values!$I$191</f>
        <v>1286.6300000000001</v>
      </c>
      <c r="J39" s="13">
        <f>'G &amp; S Projections'!L36*Values!$I$191</f>
        <v>1286.6300000000001</v>
      </c>
      <c r="K39" s="13">
        <f>'G &amp; S Projections'!M36*Values!$I$191</f>
        <v>1286.6300000000001</v>
      </c>
      <c r="L39" s="13">
        <f>'G &amp; S Projections'!N36*Values!$I$191</f>
        <v>1286.6300000000001</v>
      </c>
      <c r="M39" s="13">
        <f>'G &amp; S Projections'!O36*Values!$I$191</f>
        <v>1286.6300000000001</v>
      </c>
      <c r="N39" s="13">
        <f>'G &amp; S Projections'!P36*Values!$I$191</f>
        <v>1286.6300000000001</v>
      </c>
      <c r="O39" s="13">
        <f>'G &amp; S Projections'!Q36*Values!$I$191</f>
        <v>1286.6300000000001</v>
      </c>
      <c r="P39" s="13">
        <f>'G &amp; S Projections'!R36*Values!$I$191</f>
        <v>1286.6300000000001</v>
      </c>
      <c r="Q39" s="13">
        <f>'G &amp; S Projections'!S36*Values!$I$191</f>
        <v>1286.6300000000001</v>
      </c>
      <c r="R39" s="13">
        <f>'G &amp; S Projections'!T36*Values!$I$191</f>
        <v>1286.6300000000001</v>
      </c>
      <c r="S39" s="13">
        <f>'G &amp; S Projections'!U36*Values!$I$191</f>
        <v>1286.6300000000001</v>
      </c>
      <c r="T39" s="13">
        <f>'G &amp; S Projections'!V36*Values!$I$191</f>
        <v>1286.6300000000001</v>
      </c>
      <c r="U39" s="13">
        <f>'G &amp; S Projections'!W36*Values!$I$191</f>
        <v>1286.6300000000001</v>
      </c>
      <c r="V39" s="13">
        <f>'G &amp; S Projections'!X36*Values!$I$191</f>
        <v>1286.6300000000001</v>
      </c>
      <c r="W39" s="906">
        <f>(V39/$C$66)*$C$67</f>
        <v>19121.369026352619</v>
      </c>
      <c r="X39" s="910">
        <f>NPV($C$66,D39:V39)+C39+W39</f>
        <v>38047.487142857193</v>
      </c>
      <c r="Y39" s="944" t="str">
        <f>Values!C104</f>
        <v>NE &amp;/or others who pay NE for it</v>
      </c>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row>
    <row r="40" spans="2:50" ht="57.75" customHeight="1" x14ac:dyDescent="0.2">
      <c r="B40" s="60" t="str">
        <f>Values!B105</f>
        <v>Educational visits by school pupils with no educational input from NNR staff or NNR volunteers.</v>
      </c>
      <c r="C40" s="13"/>
      <c r="D40" s="13"/>
      <c r="E40" s="13"/>
      <c r="F40" s="13"/>
      <c r="G40" s="13"/>
      <c r="H40" s="13"/>
      <c r="I40" s="13"/>
      <c r="J40" s="13"/>
      <c r="K40" s="13"/>
      <c r="L40" s="13"/>
      <c r="M40" s="13"/>
      <c r="N40" s="13"/>
      <c r="O40" s="13"/>
      <c r="P40" s="13"/>
      <c r="Q40" s="13"/>
      <c r="R40" s="13"/>
      <c r="S40" s="13"/>
      <c r="T40" s="13"/>
      <c r="U40" s="13"/>
      <c r="V40" s="13"/>
      <c r="W40" s="906">
        <f>(V40/$C$66)*$C$66</f>
        <v>0</v>
      </c>
      <c r="X40" s="13"/>
      <c r="Y40" s="940"/>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row>
    <row r="41" spans="2:50" ht="74.25" customHeight="1" x14ac:dyDescent="0.2">
      <c r="B41" s="60" t="str">
        <f>Values!B106</f>
        <v>Educational visits by students (in education beyond secondary / high school) that have educational input from NNR staff or volunteers.</v>
      </c>
      <c r="C41" s="13"/>
      <c r="D41" s="13"/>
      <c r="E41" s="13"/>
      <c r="F41" s="13"/>
      <c r="G41" s="13"/>
      <c r="H41" s="13"/>
      <c r="I41" s="13"/>
      <c r="J41" s="13"/>
      <c r="K41" s="13"/>
      <c r="L41" s="13"/>
      <c r="M41" s="13"/>
      <c r="N41" s="13"/>
      <c r="O41" s="13"/>
      <c r="P41" s="13"/>
      <c r="Q41" s="13"/>
      <c r="R41" s="13"/>
      <c r="S41" s="13"/>
      <c r="T41" s="13"/>
      <c r="U41" s="13"/>
      <c r="V41" s="13"/>
      <c r="W41" s="906">
        <f>(V41/$C$66)*$C$66</f>
        <v>0</v>
      </c>
      <c r="X41" s="13"/>
      <c r="Y41" s="940"/>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row>
    <row r="42" spans="2:50" ht="57" x14ac:dyDescent="0.2">
      <c r="B42" s="60" t="str">
        <f>Values!B107</f>
        <v>Educational visits by students (beyond secondary / high school) with no educational input from NNR staff or NNR volunteers.</v>
      </c>
      <c r="C42" s="13"/>
      <c r="D42" s="13"/>
      <c r="E42" s="13"/>
      <c r="F42" s="13"/>
      <c r="G42" s="13"/>
      <c r="H42" s="13"/>
      <c r="I42" s="13"/>
      <c r="J42" s="13"/>
      <c r="K42" s="13"/>
      <c r="L42" s="13"/>
      <c r="M42" s="13"/>
      <c r="N42" s="13"/>
      <c r="O42" s="13"/>
      <c r="P42" s="13"/>
      <c r="Q42" s="13"/>
      <c r="R42" s="13"/>
      <c r="S42" s="13"/>
      <c r="T42" s="13"/>
      <c r="U42" s="13"/>
      <c r="V42" s="13"/>
      <c r="W42" s="906">
        <f>(V42/$C$66)*$C$66</f>
        <v>0</v>
      </c>
      <c r="X42" s="13"/>
      <c r="Y42" s="940"/>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row>
    <row r="43" spans="2:50" ht="71.25" x14ac:dyDescent="0.2">
      <c r="B43" s="60" t="str">
        <f>Values!B108</f>
        <v>Educational visits by the public (e.g. guided walks for the public, scouts, local interest groups) that have educational input by NNR staff or volunteers.</v>
      </c>
      <c r="C43" s="13">
        <f>('G &amp; S Projections'!E40*(1-Values!$E$14)*Values!$F$196)+('G &amp; S Projections'!E40*Values!$E$14*Values!$F$197)</f>
        <v>5460.7207300275486</v>
      </c>
      <c r="D43" s="13">
        <f>('G &amp; S Projections'!F40*(1-Values!$E$14)*Values!$F$196)+('G &amp; S Projections'!F40*Values!$E$14*Values!$F$197)</f>
        <v>5460.7207300275486</v>
      </c>
      <c r="E43" s="13">
        <f>('G &amp; S Projections'!G40*(1-Values!$E$14)*Values!$F$196)+('G &amp; S Projections'!G40*Values!$E$14*Values!$F$197)</f>
        <v>5460.7207300275486</v>
      </c>
      <c r="F43" s="13">
        <f>('G &amp; S Projections'!H40*(1-Values!$E$14)*Values!$F$196)+('G &amp; S Projections'!H40*Values!$E$14*Values!$F$197)</f>
        <v>5460.7207300275486</v>
      </c>
      <c r="G43" s="13">
        <f>('G &amp; S Projections'!I40*(1-Values!$E$14)*Values!$F$196)+('G &amp; S Projections'!I40*Values!$E$14*Values!$F$197)</f>
        <v>5460.7207300275486</v>
      </c>
      <c r="H43" s="13">
        <f>('G &amp; S Projections'!J40*(1-Values!$E$14)*Values!$F$196)+('G &amp; S Projections'!J40*Values!$E$14*Values!$F$197)</f>
        <v>5460.7207300275486</v>
      </c>
      <c r="I43" s="13">
        <f>('G &amp; S Projections'!K40*(1-Values!$E$14)*Values!$F$196)+('G &amp; S Projections'!K40*Values!$E$14*Values!$F$197)</f>
        <v>5460.7207300275486</v>
      </c>
      <c r="J43" s="13">
        <f>('G &amp; S Projections'!L40*(1-Values!$E$14)*Values!$F$196)+('G &amp; S Projections'!L40*Values!$E$14*Values!$F$197)</f>
        <v>5460.7207300275486</v>
      </c>
      <c r="K43" s="13">
        <f>('G &amp; S Projections'!M40*(1-Values!$E$14)*Values!$F$196)+('G &amp; S Projections'!M40*Values!$E$14*Values!$F$197)</f>
        <v>5460.7207300275486</v>
      </c>
      <c r="L43" s="13">
        <f>('G &amp; S Projections'!N40*(1-Values!$E$14)*Values!$F$196)+('G &amp; S Projections'!N40*Values!$E$14*Values!$F$197)</f>
        <v>5460.7207300275486</v>
      </c>
      <c r="M43" s="13">
        <f>('G &amp; S Projections'!O40*(1-Values!$E$14)*Values!$F$196)+('G &amp; S Projections'!O40*Values!$E$14*Values!$F$197)</f>
        <v>5460.7207300275486</v>
      </c>
      <c r="N43" s="13">
        <f>('G &amp; S Projections'!P40*(1-Values!$E$14)*Values!$F$196)+('G &amp; S Projections'!P40*Values!$E$14*Values!$F$197)</f>
        <v>5460.7207300275486</v>
      </c>
      <c r="O43" s="13">
        <f>('G &amp; S Projections'!Q40*(1-Values!$E$14)*Values!$F$196)+('G &amp; S Projections'!Q40*Values!$E$14*Values!$F$197)</f>
        <v>5460.7207300275486</v>
      </c>
      <c r="P43" s="13">
        <f>('G &amp; S Projections'!R40*(1-Values!$E$14)*Values!$F$196)+('G &amp; S Projections'!R40*Values!$E$14*Values!$F$197)</f>
        <v>5460.7207300275486</v>
      </c>
      <c r="Q43" s="13">
        <f>('G &amp; S Projections'!S40*(1-Values!$E$14)*Values!$F$196)+('G &amp; S Projections'!S40*Values!$E$14*Values!$F$197)</f>
        <v>5460.7207300275486</v>
      </c>
      <c r="R43" s="13">
        <f>('G &amp; S Projections'!T40*(1-Values!$E$14)*Values!$F$196)+('G &amp; S Projections'!T40*Values!$E$14*Values!$F$197)</f>
        <v>5460.7207300275486</v>
      </c>
      <c r="S43" s="13">
        <f>('G &amp; S Projections'!U40*(1-Values!$E$14)*Values!$F$196)+('G &amp; S Projections'!U40*Values!$E$14*Values!$F$197)</f>
        <v>5460.7207300275486</v>
      </c>
      <c r="T43" s="13">
        <f>('G &amp; S Projections'!V40*(1-Values!$E$14)*Values!$F$196)+('G &amp; S Projections'!V40*Values!$E$14*Values!$F$197)</f>
        <v>5460.7207300275486</v>
      </c>
      <c r="U43" s="13">
        <f>('G &amp; S Projections'!W40*(1-Values!$E$14)*Values!$F$196)+('G &amp; S Projections'!W40*Values!$E$14*Values!$F$197)</f>
        <v>5460.7207300275486</v>
      </c>
      <c r="V43" s="13">
        <f>('G &amp; S Projections'!X40*(1-Values!$E$14)*Values!$F$196)+('G &amp; S Projections'!X40*Values!$E$14*Values!$F$197)</f>
        <v>5460.7207300275486</v>
      </c>
      <c r="W43" s="906">
        <f>(V43/$C$66)*$C$67</f>
        <v>81154.998895339304</v>
      </c>
      <c r="X43" s="910">
        <f>NPV($C$66,D43:V43)+C43+W43</f>
        <v>161481.31301652914</v>
      </c>
      <c r="Y43" s="944" t="str">
        <f>Values!C108</f>
        <v>Mostly others who don't pay NE for it</v>
      </c>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row>
    <row r="44" spans="2:50" ht="57" x14ac:dyDescent="0.2">
      <c r="B44" s="60" t="str">
        <f>Values!B109</f>
        <v>Educational visits by groups of the public that have no educational input by NNR staff or NNR volunteers.</v>
      </c>
      <c r="C44" s="13"/>
      <c r="D44" s="13"/>
      <c r="E44" s="13"/>
      <c r="F44" s="13"/>
      <c r="G44" s="13"/>
      <c r="H44" s="13"/>
      <c r="I44" s="13"/>
      <c r="J44" s="13"/>
      <c r="K44" s="13"/>
      <c r="L44" s="13"/>
      <c r="M44" s="13"/>
      <c r="N44" s="13"/>
      <c r="O44" s="13"/>
      <c r="P44" s="13"/>
      <c r="Q44" s="13"/>
      <c r="R44" s="13"/>
      <c r="S44" s="13"/>
      <c r="T44" s="13"/>
      <c r="U44" s="13"/>
      <c r="V44" s="13"/>
      <c r="W44" s="906">
        <f t="shared" ref="W44:W54" si="1">(V44/$C$66)*$C$66</f>
        <v>0</v>
      </c>
      <c r="X44" s="13"/>
      <c r="Y44" s="940"/>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row>
    <row r="45" spans="2:50" ht="42.75" x14ac:dyDescent="0.2">
      <c r="B45" s="60" t="str">
        <f>Values!B110</f>
        <v>Participants in community events (that have little or no educational content).</v>
      </c>
      <c r="C45" s="13"/>
      <c r="D45" s="13"/>
      <c r="E45" s="13"/>
      <c r="F45" s="13"/>
      <c r="G45" s="13"/>
      <c r="H45" s="13"/>
      <c r="I45" s="13"/>
      <c r="J45" s="13"/>
      <c r="K45" s="13"/>
      <c r="L45" s="13"/>
      <c r="M45" s="13"/>
      <c r="N45" s="13"/>
      <c r="O45" s="13"/>
      <c r="P45" s="13"/>
      <c r="Q45" s="13"/>
      <c r="R45" s="13"/>
      <c r="S45" s="13"/>
      <c r="T45" s="13"/>
      <c r="U45" s="13"/>
      <c r="V45" s="13"/>
      <c r="W45" s="906">
        <f t="shared" si="1"/>
        <v>0</v>
      </c>
      <c r="X45" s="13"/>
      <c r="Y45" s="940"/>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row>
    <row r="46" spans="2:50" ht="57" x14ac:dyDescent="0.2">
      <c r="B46" s="60" t="str">
        <f>Values!B111</f>
        <v>People (excluding staff) given training in working on an NNR (including training given as part of work experience).</v>
      </c>
      <c r="C46" s="13"/>
      <c r="D46" s="13"/>
      <c r="E46" s="13"/>
      <c r="F46" s="13"/>
      <c r="G46" s="13"/>
      <c r="H46" s="13"/>
      <c r="I46" s="13"/>
      <c r="J46" s="13"/>
      <c r="K46" s="13"/>
      <c r="L46" s="13"/>
      <c r="M46" s="13"/>
      <c r="N46" s="13"/>
      <c r="O46" s="13"/>
      <c r="P46" s="13"/>
      <c r="Q46" s="13"/>
      <c r="R46" s="13"/>
      <c r="S46" s="13"/>
      <c r="T46" s="13"/>
      <c r="U46" s="13"/>
      <c r="V46" s="13"/>
      <c r="W46" s="906">
        <f t="shared" si="1"/>
        <v>0</v>
      </c>
      <c r="X46" s="13"/>
      <c r="Y46" s="940"/>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row>
    <row r="47" spans="2:50" ht="99.75" x14ac:dyDescent="0.2">
      <c r="B47" s="60" t="str">
        <f>Values!B112</f>
        <v>Research projects. Includes research conducted by others (students, researchers, citizens, colleagues, long term monitoring network) and other research that NNR staff and volunteers contribute towards.</v>
      </c>
      <c r="C47" s="13"/>
      <c r="D47" s="13"/>
      <c r="E47" s="13"/>
      <c r="F47" s="13"/>
      <c r="G47" s="13"/>
      <c r="H47" s="13"/>
      <c r="I47" s="13"/>
      <c r="J47" s="13"/>
      <c r="K47" s="13"/>
      <c r="L47" s="13"/>
      <c r="M47" s="13"/>
      <c r="N47" s="13"/>
      <c r="O47" s="13"/>
      <c r="P47" s="13"/>
      <c r="Q47" s="13"/>
      <c r="R47" s="13"/>
      <c r="S47" s="13"/>
      <c r="T47" s="13"/>
      <c r="U47" s="13"/>
      <c r="V47" s="13"/>
      <c r="W47" s="906">
        <f t="shared" si="1"/>
        <v>0</v>
      </c>
      <c r="X47" s="13"/>
      <c r="Y47" s="940"/>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row>
    <row r="48" spans="2:50" ht="57" x14ac:dyDescent="0.2">
      <c r="B48" s="60" t="str">
        <f>Values!B113</f>
        <v>Engagement with people through social media (as measured through Facebook and Blog statistics etc).</v>
      </c>
      <c r="C48" s="13"/>
      <c r="D48" s="13"/>
      <c r="E48" s="13"/>
      <c r="F48" s="13"/>
      <c r="G48" s="13"/>
      <c r="H48" s="13"/>
      <c r="I48" s="13"/>
      <c r="J48" s="13"/>
      <c r="K48" s="13"/>
      <c r="L48" s="13"/>
      <c r="M48" s="13"/>
      <c r="N48" s="13"/>
      <c r="O48" s="13"/>
      <c r="P48" s="13"/>
      <c r="Q48" s="13"/>
      <c r="R48" s="13"/>
      <c r="S48" s="13"/>
      <c r="T48" s="13"/>
      <c r="U48" s="13"/>
      <c r="V48" s="13"/>
      <c r="W48" s="906">
        <f t="shared" si="1"/>
        <v>0</v>
      </c>
      <c r="X48" s="13"/>
      <c r="Y48" s="940"/>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row>
    <row r="49" spans="2:50" ht="44.25" customHeight="1" x14ac:dyDescent="0.2">
      <c r="B49" s="60" t="str">
        <f>Values!B114</f>
        <v xml:space="preserve">Field Studies Council Guide on Shapwick Heath sold via us here at Shapwick. </v>
      </c>
      <c r="C49" s="13"/>
      <c r="D49" s="13"/>
      <c r="E49" s="13"/>
      <c r="F49" s="13"/>
      <c r="G49" s="13"/>
      <c r="H49" s="13"/>
      <c r="I49" s="13"/>
      <c r="J49" s="13"/>
      <c r="K49" s="13"/>
      <c r="L49" s="13"/>
      <c r="M49" s="13"/>
      <c r="N49" s="13"/>
      <c r="O49" s="13"/>
      <c r="P49" s="13"/>
      <c r="Q49" s="13"/>
      <c r="R49" s="13"/>
      <c r="S49" s="13"/>
      <c r="T49" s="13"/>
      <c r="U49" s="13"/>
      <c r="V49" s="13"/>
      <c r="W49" s="906">
        <f t="shared" si="1"/>
        <v>0</v>
      </c>
      <c r="X49" s="13"/>
      <c r="Y49" s="940"/>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row>
    <row r="50" spans="2:50" ht="57" x14ac:dyDescent="0.2">
      <c r="B50" s="60" t="str">
        <f>Values!B115</f>
        <v xml:space="preserve">Field Studies Council Guide on Shapwick Heath sold via us here at Shapwick or Tourist Information Centre and shops. </v>
      </c>
      <c r="C50" s="13"/>
      <c r="D50" s="13"/>
      <c r="E50" s="13"/>
      <c r="F50" s="13"/>
      <c r="G50" s="13"/>
      <c r="H50" s="13"/>
      <c r="I50" s="13"/>
      <c r="J50" s="13"/>
      <c r="K50" s="13"/>
      <c r="L50" s="13"/>
      <c r="M50" s="13"/>
      <c r="N50" s="13"/>
      <c r="O50" s="13"/>
      <c r="P50" s="13"/>
      <c r="Q50" s="13"/>
      <c r="R50" s="13"/>
      <c r="S50" s="13"/>
      <c r="T50" s="13"/>
      <c r="U50" s="13"/>
      <c r="V50" s="13"/>
      <c r="W50" s="906">
        <f t="shared" si="1"/>
        <v>0</v>
      </c>
      <c r="X50" s="13"/>
      <c r="Y50" s="940"/>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row>
    <row r="51" spans="2:50" ht="28.5" x14ac:dyDescent="0.2">
      <c r="B51" s="60" t="str">
        <f>Values!B116</f>
        <v>Benefits to people who volunteer regularly (at least once a month).</v>
      </c>
      <c r="C51" s="13">
        <f>'G &amp; S Projections'!E48*Values!$E$232</f>
        <v>26367</v>
      </c>
      <c r="D51" s="13">
        <f>'G &amp; S Projections'!F48*Values!$E$232</f>
        <v>26367</v>
      </c>
      <c r="E51" s="13">
        <f>'G &amp; S Projections'!G48*Values!$E$232</f>
        <v>26367</v>
      </c>
      <c r="F51" s="13">
        <f>'G &amp; S Projections'!H48*Values!$E$232</f>
        <v>26367</v>
      </c>
      <c r="G51" s="13">
        <f>'G &amp; S Projections'!I48*Values!$E$232</f>
        <v>26367</v>
      </c>
      <c r="H51" s="13">
        <f>'G &amp; S Projections'!J48*Values!$E$232</f>
        <v>26367</v>
      </c>
      <c r="I51" s="13">
        <f>'G &amp; S Projections'!K48*Values!$E$232</f>
        <v>26367</v>
      </c>
      <c r="J51" s="13">
        <f>'G &amp; S Projections'!L48*Values!$E$232</f>
        <v>26367</v>
      </c>
      <c r="K51" s="13">
        <f>'G &amp; S Projections'!M48*Values!$E$232</f>
        <v>26367</v>
      </c>
      <c r="L51" s="13">
        <f>'G &amp; S Projections'!N48*Values!$E$232</f>
        <v>26367</v>
      </c>
      <c r="M51" s="13">
        <f>'G &amp; S Projections'!O48*Values!$E$232</f>
        <v>26367</v>
      </c>
      <c r="N51" s="13">
        <f>'G &amp; S Projections'!P48*Values!$E$232</f>
        <v>26367</v>
      </c>
      <c r="O51" s="13">
        <f>'G &amp; S Projections'!Q48*Values!$E$232</f>
        <v>26367</v>
      </c>
      <c r="P51" s="13">
        <f>'G &amp; S Projections'!R48*Values!$E$232</f>
        <v>26367</v>
      </c>
      <c r="Q51" s="13">
        <f>'G &amp; S Projections'!S48*Values!$E$232</f>
        <v>26367</v>
      </c>
      <c r="R51" s="13">
        <f>'G &amp; S Projections'!T48*Values!$E$232</f>
        <v>26367</v>
      </c>
      <c r="S51" s="13">
        <f>'G &amp; S Projections'!U48*Values!$E$232</f>
        <v>26367</v>
      </c>
      <c r="T51" s="13">
        <f>'G &amp; S Projections'!V48*Values!$E$232</f>
        <v>26367</v>
      </c>
      <c r="U51" s="13">
        <f>'G &amp; S Projections'!W48*Values!$E$232</f>
        <v>26367</v>
      </c>
      <c r="V51" s="13">
        <f>'G &amp; S Projections'!X48*Values!$E$232</f>
        <v>26367</v>
      </c>
      <c r="W51" s="906">
        <f>(V51/$C$66)*$C$67</f>
        <v>391855.57395509153</v>
      </c>
      <c r="X51" s="910">
        <f>NPV($C$66,D51:V51)+C51+W51</f>
        <v>779709.85714285809</v>
      </c>
      <c r="Y51" s="944" t="str">
        <f>Values!C116</f>
        <v>Mostly others who don't pay NE for it</v>
      </c>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row>
    <row r="52" spans="2:50" x14ac:dyDescent="0.2">
      <c r="B52" s="60">
        <f>Values!B117</f>
        <v>0</v>
      </c>
      <c r="C52" s="13"/>
      <c r="D52" s="13"/>
      <c r="E52" s="13"/>
      <c r="F52" s="13"/>
      <c r="G52" s="13"/>
      <c r="H52" s="13"/>
      <c r="I52" s="13"/>
      <c r="J52" s="13"/>
      <c r="K52" s="13"/>
      <c r="L52" s="13"/>
      <c r="M52" s="13"/>
      <c r="N52" s="13"/>
      <c r="O52" s="13"/>
      <c r="P52" s="13"/>
      <c r="Q52" s="13"/>
      <c r="R52" s="13"/>
      <c r="S52" s="13"/>
      <c r="T52" s="13"/>
      <c r="U52" s="13"/>
      <c r="V52" s="13"/>
      <c r="W52" s="906">
        <f t="shared" si="1"/>
        <v>0</v>
      </c>
      <c r="X52" s="13"/>
      <c r="Y52" s="940"/>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row>
    <row r="53" spans="2:50" x14ac:dyDescent="0.2">
      <c r="B53" s="60">
        <f>Values!B118</f>
        <v>0</v>
      </c>
      <c r="C53" s="13"/>
      <c r="D53" s="13"/>
      <c r="E53" s="13"/>
      <c r="F53" s="13"/>
      <c r="G53" s="13"/>
      <c r="H53" s="13"/>
      <c r="I53" s="13"/>
      <c r="J53" s="13"/>
      <c r="K53" s="13"/>
      <c r="L53" s="13"/>
      <c r="M53" s="13"/>
      <c r="N53" s="13"/>
      <c r="O53" s="13"/>
      <c r="P53" s="13"/>
      <c r="Q53" s="13"/>
      <c r="R53" s="13"/>
      <c r="S53" s="13"/>
      <c r="T53" s="13"/>
      <c r="U53" s="13"/>
      <c r="V53" s="13"/>
      <c r="W53" s="906">
        <f t="shared" si="1"/>
        <v>0</v>
      </c>
      <c r="X53" s="13"/>
      <c r="Y53" s="940"/>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row>
    <row r="54" spans="2:50" x14ac:dyDescent="0.2">
      <c r="B54" s="60">
        <f>Values!B119</f>
        <v>0</v>
      </c>
      <c r="C54" s="13"/>
      <c r="D54" s="13"/>
      <c r="E54" s="13"/>
      <c r="F54" s="13"/>
      <c r="G54" s="13"/>
      <c r="H54" s="13"/>
      <c r="I54" s="13"/>
      <c r="J54" s="13"/>
      <c r="K54" s="13"/>
      <c r="L54" s="13"/>
      <c r="M54" s="13"/>
      <c r="N54" s="13"/>
      <c r="O54" s="13"/>
      <c r="P54" s="13"/>
      <c r="Q54" s="13"/>
      <c r="R54" s="13"/>
      <c r="S54" s="13"/>
      <c r="T54" s="13"/>
      <c r="U54" s="13"/>
      <c r="V54" s="13"/>
      <c r="W54" s="906">
        <f t="shared" si="1"/>
        <v>0</v>
      </c>
      <c r="X54" s="13"/>
      <c r="Y54" s="940"/>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row>
    <row r="55" spans="2:50" s="105" customFormat="1" x14ac:dyDescent="0.2">
      <c r="B55" s="65" t="s">
        <v>74</v>
      </c>
      <c r="C55" s="66">
        <f>SUM(C23:C54)</f>
        <v>380923.13049302646</v>
      </c>
      <c r="D55" s="66">
        <f>SUM(D23:D54)</f>
        <v>382053.31718947145</v>
      </c>
      <c r="E55" s="66">
        <f t="shared" ref="E55:T55" si="2">SUM(E23:E54)</f>
        <v>382751.31918636308</v>
      </c>
      <c r="F55" s="66">
        <f t="shared" si="2"/>
        <v>383459.79121320811</v>
      </c>
      <c r="G55" s="66">
        <f t="shared" si="2"/>
        <v>384258.79022126115</v>
      </c>
      <c r="H55" s="66">
        <f t="shared" si="2"/>
        <v>385057.78922931413</v>
      </c>
      <c r="I55" s="66">
        <f t="shared" si="2"/>
        <v>385856.78823736717</v>
      </c>
      <c r="J55" s="66">
        <f t="shared" si="2"/>
        <v>386655.78724542016</v>
      </c>
      <c r="K55" s="66">
        <f t="shared" si="2"/>
        <v>387454.7862534732</v>
      </c>
      <c r="L55" s="66">
        <f t="shared" si="2"/>
        <v>388253.78526152618</v>
      </c>
      <c r="M55" s="66">
        <f t="shared" si="2"/>
        <v>389052.78426957922</v>
      </c>
      <c r="N55" s="66">
        <f t="shared" si="2"/>
        <v>389851.7832776322</v>
      </c>
      <c r="O55" s="66">
        <f t="shared" si="2"/>
        <v>390650.78228568519</v>
      </c>
      <c r="P55" s="66">
        <f t="shared" si="2"/>
        <v>391449.78129373823</v>
      </c>
      <c r="Q55" s="66">
        <f t="shared" si="2"/>
        <v>396643.27484608279</v>
      </c>
      <c r="R55" s="66">
        <f t="shared" si="2"/>
        <v>401836.76839842735</v>
      </c>
      <c r="S55" s="66">
        <f t="shared" si="2"/>
        <v>407030.26195077191</v>
      </c>
      <c r="T55" s="66">
        <f t="shared" si="2"/>
        <v>412223.75550311647</v>
      </c>
      <c r="U55" s="66">
        <f>SUM(U23:U54)</f>
        <v>417417.24905546103</v>
      </c>
      <c r="V55" s="66">
        <f>SUM(V23:V54)</f>
        <v>422610.74260780565</v>
      </c>
      <c r="W55" s="899"/>
      <c r="X55" s="911">
        <f>SUM(X23:X54)</f>
        <v>12035388.405488571</v>
      </c>
      <c r="Y55" s="943"/>
    </row>
    <row r="56" spans="2:50" s="897" customFormat="1" x14ac:dyDescent="0.2">
      <c r="B56" s="948"/>
      <c r="C56" s="945"/>
      <c r="D56" s="945"/>
      <c r="E56" s="945"/>
      <c r="F56" s="945"/>
      <c r="G56" s="945"/>
      <c r="H56" s="945"/>
      <c r="I56" s="945"/>
      <c r="J56" s="945"/>
      <c r="K56" s="945"/>
      <c r="L56" s="945"/>
      <c r="M56" s="945"/>
      <c r="N56" s="945"/>
      <c r="O56" s="945"/>
      <c r="P56" s="945"/>
      <c r="Q56" s="945"/>
      <c r="R56" s="945"/>
      <c r="S56" s="945"/>
      <c r="T56" s="945"/>
      <c r="U56" s="945"/>
      <c r="V56" s="945"/>
      <c r="W56" s="900"/>
      <c r="X56" s="949"/>
      <c r="Y56" s="901"/>
    </row>
    <row r="57" spans="2:50" s="897" customFormat="1" ht="28.5" x14ac:dyDescent="0.2">
      <c r="B57" s="951" t="s">
        <v>823</v>
      </c>
      <c r="C57" s="945"/>
      <c r="D57" s="945"/>
      <c r="E57" s="945"/>
      <c r="F57" s="945"/>
      <c r="G57" s="945"/>
      <c r="H57" s="945"/>
      <c r="I57" s="945"/>
      <c r="J57" s="945"/>
      <c r="K57" s="945"/>
      <c r="L57" s="945"/>
      <c r="M57" s="945"/>
      <c r="N57" s="945"/>
      <c r="O57" s="945"/>
      <c r="P57" s="945"/>
      <c r="Q57" s="945"/>
      <c r="R57" s="945"/>
      <c r="S57" s="945"/>
      <c r="T57" s="945"/>
      <c r="U57" s="945"/>
      <c r="V57" s="945"/>
      <c r="W57" s="900"/>
      <c r="X57" s="949"/>
      <c r="Y57" s="901"/>
    </row>
    <row r="58" spans="2:50" s="897" customFormat="1" ht="28.5" x14ac:dyDescent="0.2">
      <c r="B58" s="947" t="s">
        <v>822</v>
      </c>
      <c r="C58" s="945"/>
      <c r="D58" s="945"/>
      <c r="E58" s="945"/>
      <c r="F58" s="945"/>
      <c r="G58" s="945"/>
      <c r="H58" s="945"/>
      <c r="I58" s="945"/>
      <c r="J58" s="945"/>
      <c r="K58" s="945"/>
      <c r="L58" s="945"/>
      <c r="M58" s="945"/>
      <c r="N58" s="945"/>
      <c r="O58" s="945"/>
      <c r="P58" s="945"/>
      <c r="Q58" s="945"/>
      <c r="R58" s="945"/>
      <c r="S58" s="945"/>
      <c r="T58" s="945"/>
      <c r="U58" s="945"/>
      <c r="V58" s="945"/>
      <c r="W58" s="900"/>
      <c r="X58" s="949">
        <f>SUMIF(Y23:Y54,"NE &amp;/or others who pay NE for it",X23:X54)</f>
        <v>90996.201428571541</v>
      </c>
      <c r="Y58" s="950"/>
    </row>
    <row r="59" spans="2:50" s="897" customFormat="1" ht="28.5" x14ac:dyDescent="0.2">
      <c r="B59" s="947" t="s">
        <v>821</v>
      </c>
      <c r="C59" s="945"/>
      <c r="D59" s="945"/>
      <c r="E59" s="945"/>
      <c r="F59" s="945"/>
      <c r="G59" s="945"/>
      <c r="H59" s="945"/>
      <c r="I59" s="945"/>
      <c r="J59" s="945"/>
      <c r="K59" s="945"/>
      <c r="L59" s="945"/>
      <c r="M59" s="945"/>
      <c r="N59" s="945"/>
      <c r="O59" s="945"/>
      <c r="P59" s="945"/>
      <c r="Q59" s="945"/>
      <c r="R59" s="945"/>
      <c r="S59" s="945"/>
      <c r="T59" s="945"/>
      <c r="U59" s="945"/>
      <c r="V59" s="945"/>
      <c r="W59" s="900"/>
      <c r="X59" s="949">
        <f>SUMIF(Y23:Y54,"Mostly others who don't pay NE for it",X23:X54)</f>
        <v>11944392.204059998</v>
      </c>
      <c r="Y59" s="946"/>
    </row>
    <row r="60" spans="2:50" s="105" customFormat="1" x14ac:dyDescent="0.2">
      <c r="B60" s="897"/>
      <c r="C60" s="897"/>
      <c r="V60" s="901"/>
      <c r="W60" s="901"/>
    </row>
    <row r="61" spans="2:50" s="105" customFormat="1" ht="15" x14ac:dyDescent="0.25">
      <c r="B61" s="959" t="s">
        <v>876</v>
      </c>
      <c r="C61" s="897"/>
      <c r="V61" s="901"/>
      <c r="W61" s="901"/>
    </row>
    <row r="62" spans="2:50" s="105" customFormat="1" x14ac:dyDescent="0.2">
      <c r="B62" s="897"/>
      <c r="C62" s="897"/>
      <c r="V62" s="901"/>
      <c r="W62" s="901"/>
    </row>
    <row r="63" spans="2:50" s="105" customFormat="1" x14ac:dyDescent="0.2">
      <c r="B63" s="11" t="s">
        <v>828</v>
      </c>
      <c r="C63" s="897"/>
      <c r="V63" s="901"/>
      <c r="W63" s="901"/>
    </row>
    <row r="64" spans="2:50" s="105" customFormat="1" x14ac:dyDescent="0.2">
      <c r="B64" s="11" t="s">
        <v>882</v>
      </c>
      <c r="C64" s="897"/>
      <c r="V64" s="901"/>
      <c r="W64" s="901"/>
    </row>
    <row r="65" spans="2:5" s="105" customFormat="1" x14ac:dyDescent="0.2">
      <c r="B65" s="897"/>
      <c r="C65" s="897"/>
    </row>
    <row r="66" spans="2:5" s="105" customFormat="1" ht="15" x14ac:dyDescent="0.2">
      <c r="B66" s="55" t="s">
        <v>805</v>
      </c>
      <c r="C66" s="902">
        <f>'Cost Projections'!C69</f>
        <v>3.5000000000000003E-2</v>
      </c>
      <c r="D66" s="963" t="s">
        <v>877</v>
      </c>
      <c r="E66" s="11"/>
    </row>
    <row r="67" spans="2:5" s="105" customFormat="1" x14ac:dyDescent="0.2">
      <c r="B67" s="55" t="s">
        <v>806</v>
      </c>
      <c r="C67" s="908">
        <f>(1/((1+$C$66)^19))</f>
        <v>0.52015569038677911</v>
      </c>
      <c r="D67" s="907" t="s">
        <v>807</v>
      </c>
      <c r="E67" s="11"/>
    </row>
    <row r="68" spans="2:5" s="105" customFormat="1" x14ac:dyDescent="0.2">
      <c r="B68" s="55"/>
      <c r="C68" s="908"/>
      <c r="D68" s="907"/>
      <c r="E68" s="11"/>
    </row>
    <row r="69" spans="2:5" s="105" customFormat="1" x14ac:dyDescent="0.2">
      <c r="B69" s="67" t="s">
        <v>808</v>
      </c>
      <c r="C69" s="71"/>
      <c r="D69" s="11"/>
      <c r="E69" s="11"/>
    </row>
    <row r="70" spans="2:5" s="105" customFormat="1" x14ac:dyDescent="0.2"/>
    <row r="71" spans="2:5" s="105" customFormat="1" ht="15" x14ac:dyDescent="0.25">
      <c r="B71" s="68" t="s">
        <v>620</v>
      </c>
    </row>
    <row r="72" spans="2:5" s="105" customFormat="1" x14ac:dyDescent="0.2">
      <c r="B72" s="897" t="s">
        <v>852</v>
      </c>
    </row>
    <row r="73" spans="2:5" s="105" customFormat="1" x14ac:dyDescent="0.2"/>
    <row r="74" spans="2:5" s="105" customFormat="1" ht="15" x14ac:dyDescent="0.25">
      <c r="B74" s="959" t="s">
        <v>912</v>
      </c>
    </row>
    <row r="75" spans="2:5" s="897" customFormat="1" ht="15" x14ac:dyDescent="0.25">
      <c r="B75" s="959"/>
    </row>
    <row r="76" spans="2:5" s="897" customFormat="1" ht="15" x14ac:dyDescent="0.25">
      <c r="B76" s="68" t="s">
        <v>913</v>
      </c>
    </row>
    <row r="77" spans="2:5" s="105" customFormat="1" x14ac:dyDescent="0.2">
      <c r="B77" s="1022" t="s">
        <v>1022</v>
      </c>
      <c r="E77" s="1018">
        <f>C24+C25</f>
        <v>650.5</v>
      </c>
    </row>
    <row r="78" spans="2:5" s="105" customFormat="1" x14ac:dyDescent="0.2">
      <c r="B78" s="1028" t="s">
        <v>1150</v>
      </c>
      <c r="E78" s="1018"/>
    </row>
    <row r="79" spans="2:5" s="105" customFormat="1" x14ac:dyDescent="0.2">
      <c r="B79" s="1022" t="s">
        <v>1021</v>
      </c>
      <c r="E79" s="1018">
        <f>SUM(C27:C30)</f>
        <v>555</v>
      </c>
    </row>
    <row r="80" spans="2:5" s="897" customFormat="1" x14ac:dyDescent="0.2">
      <c r="B80" s="1020" t="s">
        <v>979</v>
      </c>
      <c r="E80" s="1018">
        <f>E77+E79</f>
        <v>1205.5</v>
      </c>
    </row>
    <row r="81" spans="2:5" s="105" customFormat="1" x14ac:dyDescent="0.2">
      <c r="B81" s="1020" t="s">
        <v>980</v>
      </c>
      <c r="E81" s="1018">
        <f>E77+E79+C39</f>
        <v>2492.13</v>
      </c>
    </row>
    <row r="82" spans="2:5" s="897" customFormat="1" x14ac:dyDescent="0.2">
      <c r="B82" s="1022" t="s">
        <v>981</v>
      </c>
      <c r="E82" s="1023">
        <f>E81/C55</f>
        <v>6.5423435872073495E-3</v>
      </c>
    </row>
    <row r="83" spans="2:5" s="897" customFormat="1" x14ac:dyDescent="0.2">
      <c r="B83" s="1020"/>
    </row>
    <row r="84" spans="2:5" s="105" customFormat="1" x14ac:dyDescent="0.2">
      <c r="B84" s="105" t="s">
        <v>908</v>
      </c>
      <c r="E84" s="1018">
        <f>C32+C38+C43</f>
        <v>351906.50049302645</v>
      </c>
    </row>
    <row r="85" spans="2:5" s="105" customFormat="1" x14ac:dyDescent="0.2">
      <c r="B85" s="1020" t="s">
        <v>909</v>
      </c>
    </row>
    <row r="86" spans="2:5" s="105" customFormat="1" x14ac:dyDescent="0.2">
      <c r="B86" s="105" t="s">
        <v>914</v>
      </c>
      <c r="E86" s="1023">
        <f>E84/C55</f>
        <v>0.92382549738461939</v>
      </c>
    </row>
    <row r="87" spans="2:5" s="105" customFormat="1" x14ac:dyDescent="0.2"/>
    <row r="88" spans="2:5" s="105" customFormat="1" x14ac:dyDescent="0.2"/>
    <row r="89" spans="2:5" s="105" customFormat="1" x14ac:dyDescent="0.2"/>
    <row r="90" spans="2:5" s="105" customFormat="1" x14ac:dyDescent="0.2"/>
  </sheetData>
  <customSheetViews>
    <customSheetView guid="{F0620CD8-87A9-448D-9A15-FA44C9D2FC91}" scale="80">
      <pageMargins left="0.7" right="0.7" top="0.75" bottom="0.75" header="0.3" footer="0.3"/>
      <pageSetup paperSize="9" orientation="portrait" r:id="rId1"/>
    </customSheetView>
  </customSheetViews>
  <mergeCells count="1">
    <mergeCell ref="C20:V20"/>
  </mergeCell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R48"/>
  <sheetViews>
    <sheetView zoomScale="80" zoomScaleNormal="80" workbookViewId="0"/>
  </sheetViews>
  <sheetFormatPr defaultRowHeight="14.25" x14ac:dyDescent="0.2"/>
  <cols>
    <col min="1" max="1" width="4.77734375" style="6" customWidth="1"/>
    <col min="2" max="2" width="30" style="6" customWidth="1"/>
    <col min="3" max="3" width="6.21875" style="6" customWidth="1"/>
    <col min="4" max="4" width="8.109375" style="6" customWidth="1"/>
    <col min="5" max="5" width="11.6640625" style="6" customWidth="1"/>
    <col min="6" max="6" width="10.6640625" style="6" customWidth="1"/>
    <col min="7" max="7" width="11.88671875" style="6" customWidth="1"/>
    <col min="8" max="8" width="6.33203125" style="6" customWidth="1"/>
    <col min="9" max="9" width="15.88671875" style="6" customWidth="1"/>
    <col min="10" max="16" width="8.88671875" style="6"/>
    <col min="17" max="17" width="28.21875" style="6" customWidth="1"/>
    <col min="18" max="18" width="12" style="6" customWidth="1"/>
    <col min="19" max="16384" width="8.88671875" style="6"/>
  </cols>
  <sheetData>
    <row r="2" spans="2:18" ht="18" x14ac:dyDescent="0.25">
      <c r="B2" s="12" t="s">
        <v>75</v>
      </c>
    </row>
    <row r="4" spans="2:18" ht="15.75" x14ac:dyDescent="0.25">
      <c r="B4" s="7" t="s">
        <v>171</v>
      </c>
      <c r="H4" s="9" t="s">
        <v>4</v>
      </c>
      <c r="I4" s="10" t="str">
        <f>Focus!C16</f>
        <v>Shapwick Heath NNR</v>
      </c>
    </row>
    <row r="6" spans="2:18" ht="15" x14ac:dyDescent="0.25">
      <c r="B6" s="8" t="s">
        <v>85</v>
      </c>
    </row>
    <row r="7" spans="2:18" x14ac:dyDescent="0.2">
      <c r="B7" s="6" t="s">
        <v>846</v>
      </c>
      <c r="Q7" s="6" t="s">
        <v>1016</v>
      </c>
      <c r="R7" s="1052">
        <v>1000000</v>
      </c>
    </row>
    <row r="8" spans="2:18" x14ac:dyDescent="0.2">
      <c r="B8" s="6" t="s">
        <v>898</v>
      </c>
    </row>
    <row r="9" spans="2:18" x14ac:dyDescent="0.2">
      <c r="B9" s="6" t="s">
        <v>847</v>
      </c>
    </row>
    <row r="11" spans="2:18" x14ac:dyDescent="0.2">
      <c r="B11" s="6" t="s">
        <v>153</v>
      </c>
    </row>
    <row r="12" spans="2:18" x14ac:dyDescent="0.2">
      <c r="B12" s="194" t="s">
        <v>894</v>
      </c>
    </row>
    <row r="13" spans="2:18" x14ac:dyDescent="0.2">
      <c r="B13" s="1059" t="s">
        <v>1027</v>
      </c>
    </row>
    <row r="14" spans="2:18" x14ac:dyDescent="0.2">
      <c r="B14" s="194" t="s">
        <v>840</v>
      </c>
    </row>
    <row r="15" spans="2:18" x14ac:dyDescent="0.2">
      <c r="B15" s="194" t="s">
        <v>154</v>
      </c>
    </row>
    <row r="16" spans="2:18" x14ac:dyDescent="0.2">
      <c r="B16" s="194"/>
    </row>
    <row r="17" spans="2:9" x14ac:dyDescent="0.2">
      <c r="B17" s="194" t="s">
        <v>844</v>
      </c>
    </row>
    <row r="18" spans="2:9" x14ac:dyDescent="0.2">
      <c r="B18" s="194" t="s">
        <v>845</v>
      </c>
    </row>
    <row r="19" spans="2:9" x14ac:dyDescent="0.2">
      <c r="B19" s="194"/>
    </row>
    <row r="20" spans="2:9" x14ac:dyDescent="0.2">
      <c r="B20" s="194" t="s">
        <v>843</v>
      </c>
    </row>
    <row r="21" spans="2:9" x14ac:dyDescent="0.2">
      <c r="B21" s="194"/>
    </row>
    <row r="22" spans="2:9" ht="15" x14ac:dyDescent="0.2">
      <c r="C22" s="1290" t="s">
        <v>10</v>
      </c>
      <c r="D22" s="1291"/>
      <c r="E22" s="1292" t="s">
        <v>11</v>
      </c>
      <c r="F22" s="1293"/>
      <c r="G22" s="14" t="s">
        <v>12</v>
      </c>
      <c r="I22" s="14" t="s">
        <v>14</v>
      </c>
    </row>
    <row r="23" spans="2:9" x14ac:dyDescent="0.2">
      <c r="C23" s="179" t="s">
        <v>7</v>
      </c>
      <c r="D23" s="15" t="s">
        <v>8</v>
      </c>
      <c r="E23" s="180" t="s">
        <v>7</v>
      </c>
      <c r="F23" s="16" t="s">
        <v>8</v>
      </c>
      <c r="G23" s="14" t="s">
        <v>13</v>
      </c>
      <c r="I23" s="14" t="s">
        <v>15</v>
      </c>
    </row>
    <row r="24" spans="2:9" ht="15" x14ac:dyDescent="0.25">
      <c r="B24" s="8"/>
      <c r="C24" s="179" t="s">
        <v>9</v>
      </c>
      <c r="D24" s="15" t="s">
        <v>9</v>
      </c>
      <c r="E24" s="180" t="s">
        <v>9</v>
      </c>
      <c r="F24" s="16" t="s">
        <v>9</v>
      </c>
      <c r="G24" s="14" t="s">
        <v>9</v>
      </c>
      <c r="I24" s="14" t="s">
        <v>9</v>
      </c>
    </row>
    <row r="25" spans="2:9" ht="29.25" x14ac:dyDescent="0.2">
      <c r="B25" s="957" t="s">
        <v>1028</v>
      </c>
      <c r="C25" s="952"/>
      <c r="D25" s="953"/>
      <c r="E25" s="1047">
        <f>'X G &amp; S Value'!X58/R7</f>
        <v>9.0996201428571538E-2</v>
      </c>
      <c r="F25" s="1048">
        <f>'X G &amp; S Value'!X59/R7</f>
        <v>11.944392204059998</v>
      </c>
      <c r="G25" s="1049">
        <f>SUM(E25:F25)</f>
        <v>12.03538840548857</v>
      </c>
      <c r="H25" s="954"/>
      <c r="I25" s="1049">
        <f>E25</f>
        <v>9.0996201428571538E-2</v>
      </c>
    </row>
    <row r="26" spans="2:9" ht="15" x14ac:dyDescent="0.25">
      <c r="B26" s="958" t="s">
        <v>842</v>
      </c>
      <c r="C26" s="955"/>
      <c r="D26" s="956"/>
      <c r="E26" s="1050">
        <f>'Cost Projections'!AC56/R7</f>
        <v>-7.443070482219448</v>
      </c>
      <c r="F26" s="1048">
        <f>'Cost Projections'!AC40/R7</f>
        <v>-3.1634035714285744</v>
      </c>
      <c r="G26" s="1049">
        <f>SUM(E26:F26)</f>
        <v>-10.606474053648022</v>
      </c>
      <c r="H26" s="954"/>
      <c r="I26" s="1051">
        <f>E26</f>
        <v>-7.443070482219448</v>
      </c>
    </row>
    <row r="27" spans="2:9" ht="29.25" x14ac:dyDescent="0.2">
      <c r="B27" s="1053" t="s">
        <v>1026</v>
      </c>
      <c r="C27" s="1054"/>
      <c r="D27" s="1055"/>
      <c r="E27" s="1056">
        <f>SUM(E25:E26)</f>
        <v>-7.3520742807908768</v>
      </c>
      <c r="F27" s="1057">
        <f>SUM(F25:F26)</f>
        <v>8.7809886326314235</v>
      </c>
      <c r="G27" s="1058">
        <f>SUM(G25:G26)</f>
        <v>1.4289143518405485</v>
      </c>
      <c r="H27" s="954"/>
      <c r="I27" s="954"/>
    </row>
    <row r="29" spans="2:9" x14ac:dyDescent="0.2">
      <c r="B29" s="6" t="s">
        <v>1014</v>
      </c>
      <c r="E29" s="1046">
        <f>E25/G25</f>
        <v>7.5607199670493386E-3</v>
      </c>
    </row>
    <row r="30" spans="2:9" x14ac:dyDescent="0.2">
      <c r="B30" s="6" t="s">
        <v>824</v>
      </c>
      <c r="E30" s="193">
        <f>F26/G26</f>
        <v>0.29825213878127049</v>
      </c>
    </row>
    <row r="31" spans="2:9" x14ac:dyDescent="0.2">
      <c r="B31" s="6" t="s">
        <v>1031</v>
      </c>
      <c r="E31" s="193">
        <f>'X G &amp; S Value'!X32/('X Net Asset Value'!G25*1000000)</f>
        <v>0.17565113265186375</v>
      </c>
    </row>
    <row r="47" spans="2:2" ht="15" x14ac:dyDescent="0.25">
      <c r="B47" s="8" t="s">
        <v>620</v>
      </c>
    </row>
    <row r="48" spans="2:2" x14ac:dyDescent="0.2">
      <c r="B48" s="6" t="s">
        <v>841</v>
      </c>
    </row>
  </sheetData>
  <mergeCells count="2">
    <mergeCell ref="C22:D22"/>
    <mergeCell ref="E22:F2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2:M195"/>
  <sheetViews>
    <sheetView zoomScale="80" zoomScaleNormal="80" workbookViewId="0"/>
  </sheetViews>
  <sheetFormatPr defaultRowHeight="14.25" x14ac:dyDescent="0.2"/>
  <cols>
    <col min="1" max="1" width="4.77734375" style="6" customWidth="1"/>
    <col min="2" max="2" width="54.44140625" style="6" customWidth="1"/>
    <col min="3" max="3" width="18.44140625" style="6" customWidth="1"/>
    <col min="4" max="4" width="18.88671875" style="6" customWidth="1"/>
    <col min="5" max="5" width="19.88671875" style="6" customWidth="1"/>
    <col min="6" max="6" width="17.21875" style="6" customWidth="1"/>
    <col min="7" max="7" width="17.33203125" style="6" customWidth="1"/>
    <col min="8" max="8" width="19.77734375" style="6" customWidth="1"/>
    <col min="9" max="9" width="13" style="6" customWidth="1"/>
    <col min="10" max="10" width="12.21875" style="6" customWidth="1"/>
    <col min="11" max="11" width="14.109375" style="6" customWidth="1"/>
    <col min="12" max="12" width="12.88671875" style="6" customWidth="1"/>
    <col min="13" max="13" width="11.6640625" style="6" customWidth="1"/>
    <col min="14" max="16384" width="8.88671875" style="6"/>
  </cols>
  <sheetData>
    <row r="2" spans="2:2" ht="18" x14ac:dyDescent="0.25">
      <c r="B2" s="12" t="s">
        <v>75</v>
      </c>
    </row>
    <row r="3" spans="2:2" ht="18" x14ac:dyDescent="0.25">
      <c r="B3" s="12"/>
    </row>
    <row r="4" spans="2:2" ht="15.75" x14ac:dyDescent="0.25">
      <c r="B4" s="7" t="s">
        <v>1042</v>
      </c>
    </row>
    <row r="6" spans="2:2" ht="15" x14ac:dyDescent="0.25">
      <c r="B6" s="1187" t="s">
        <v>85</v>
      </c>
    </row>
    <row r="7" spans="2:2" x14ac:dyDescent="0.2">
      <c r="B7" s="6" t="s">
        <v>1046</v>
      </c>
    </row>
    <row r="8" spans="2:2" x14ac:dyDescent="0.2">
      <c r="B8" s="6" t="s">
        <v>1043</v>
      </c>
    </row>
    <row r="9" spans="2:2" x14ac:dyDescent="0.2">
      <c r="B9" s="6" t="s">
        <v>624</v>
      </c>
    </row>
    <row r="10" spans="2:2" x14ac:dyDescent="0.2">
      <c r="B10" s="194" t="s">
        <v>1044</v>
      </c>
    </row>
    <row r="11" spans="2:2" ht="15" x14ac:dyDescent="0.25">
      <c r="B11" s="1072" t="s">
        <v>1034</v>
      </c>
    </row>
    <row r="12" spans="2:2" x14ac:dyDescent="0.2">
      <c r="B12" s="194" t="s">
        <v>621</v>
      </c>
    </row>
    <row r="13" spans="2:2" x14ac:dyDescent="0.2">
      <c r="B13" s="6" t="s">
        <v>682</v>
      </c>
    </row>
    <row r="15" spans="2:2" x14ac:dyDescent="0.2">
      <c r="B15" s="6" t="s">
        <v>1090</v>
      </c>
    </row>
    <row r="16" spans="2:2" x14ac:dyDescent="0.2">
      <c r="B16" s="1072" t="s">
        <v>1052</v>
      </c>
    </row>
    <row r="17" spans="2:3" x14ac:dyDescent="0.2">
      <c r="B17" s="194" t="s">
        <v>1053</v>
      </c>
    </row>
    <row r="18" spans="2:3" x14ac:dyDescent="0.2">
      <c r="B18" s="1072" t="s">
        <v>1112</v>
      </c>
    </row>
    <row r="19" spans="2:3" x14ac:dyDescent="0.2">
      <c r="B19" s="6" t="s">
        <v>1057</v>
      </c>
    </row>
    <row r="20" spans="2:3" x14ac:dyDescent="0.2">
      <c r="B20" s="194" t="s">
        <v>1058</v>
      </c>
    </row>
    <row r="22" spans="2:3" x14ac:dyDescent="0.2">
      <c r="B22" s="9" t="s">
        <v>4</v>
      </c>
      <c r="C22" s="10" t="str">
        <f>Focus!C16</f>
        <v>Shapwick Heath NNR</v>
      </c>
    </row>
    <row r="23" spans="2:3" x14ac:dyDescent="0.2">
      <c r="B23" s="9"/>
      <c r="C23" s="10"/>
    </row>
    <row r="24" spans="2:3" ht="15" x14ac:dyDescent="0.25">
      <c r="B24" s="1070" t="s">
        <v>683</v>
      </c>
    </row>
    <row r="25" spans="2:3" ht="15" x14ac:dyDescent="0.25">
      <c r="B25" s="8"/>
    </row>
    <row r="26" spans="2:3" x14ac:dyDescent="0.2">
      <c r="B26" s="6" t="s">
        <v>1045</v>
      </c>
    </row>
    <row r="27" spans="2:3" x14ac:dyDescent="0.2">
      <c r="B27" s="6" t="s">
        <v>689</v>
      </c>
    </row>
    <row r="28" spans="2:3" x14ac:dyDescent="0.2">
      <c r="B28" s="6" t="s">
        <v>749</v>
      </c>
    </row>
    <row r="29" spans="2:3" x14ac:dyDescent="0.2">
      <c r="B29" s="6" t="s">
        <v>1068</v>
      </c>
    </row>
    <row r="30" spans="2:3" x14ac:dyDescent="0.2">
      <c r="B30" s="194" t="s">
        <v>933</v>
      </c>
    </row>
    <row r="31" spans="2:3" x14ac:dyDescent="0.2">
      <c r="B31" s="194" t="s">
        <v>1151</v>
      </c>
    </row>
    <row r="33" spans="2:6" ht="32.25" customHeight="1" x14ac:dyDescent="0.25">
      <c r="C33" s="1299" t="s">
        <v>928</v>
      </c>
      <c r="D33" s="1299"/>
      <c r="E33" s="1300" t="s">
        <v>929</v>
      </c>
      <c r="F33" s="1301"/>
    </row>
    <row r="34" spans="2:6" ht="28.5" x14ac:dyDescent="0.2">
      <c r="C34" s="1073" t="s">
        <v>666</v>
      </c>
      <c r="D34" s="1074" t="s">
        <v>1059</v>
      </c>
      <c r="E34" s="1075" t="s">
        <v>666</v>
      </c>
      <c r="F34" s="1075" t="s">
        <v>1059</v>
      </c>
    </row>
    <row r="35" spans="2:6" ht="15" x14ac:dyDescent="0.25">
      <c r="B35" s="1076" t="s">
        <v>678</v>
      </c>
      <c r="C35" s="1077"/>
      <c r="D35" s="1078"/>
      <c r="E35" s="1079"/>
    </row>
    <row r="36" spans="2:6" x14ac:dyDescent="0.2">
      <c r="B36" s="194" t="s">
        <v>685</v>
      </c>
      <c r="C36" s="1080">
        <f>D85</f>
        <v>5.5471063449764308</v>
      </c>
      <c r="D36" s="1081">
        <f>E85</f>
        <v>160461.04679534532</v>
      </c>
      <c r="E36" s="1080">
        <f>G85</f>
        <v>5.5942126899528608</v>
      </c>
      <c r="F36" s="1082">
        <f>H85</f>
        <v>163335.89914624617</v>
      </c>
    </row>
    <row r="37" spans="2:6" x14ac:dyDescent="0.2">
      <c r="B37" s="194" t="s">
        <v>686</v>
      </c>
      <c r="C37" s="1080">
        <f>D95</f>
        <v>2.5</v>
      </c>
      <c r="D37" s="1081">
        <f>E95</f>
        <v>61132.039141003814</v>
      </c>
      <c r="E37" s="1080">
        <f>G95</f>
        <v>2.5</v>
      </c>
      <c r="F37" s="1082">
        <f>H95</f>
        <v>61132.039141003814</v>
      </c>
    </row>
    <row r="38" spans="2:6" ht="15" x14ac:dyDescent="0.25">
      <c r="B38" s="1083" t="s">
        <v>938</v>
      </c>
      <c r="C38" s="1084">
        <f>D96</f>
        <v>8.0471063449764308</v>
      </c>
      <c r="D38" s="1085">
        <f>E96</f>
        <v>221593.08593634912</v>
      </c>
      <c r="E38" s="1086">
        <f>G96</f>
        <v>8.0942126899528617</v>
      </c>
      <c r="F38" s="1087">
        <f>H96</f>
        <v>224467.93828725</v>
      </c>
    </row>
    <row r="39" spans="2:6" ht="15" x14ac:dyDescent="0.25">
      <c r="B39" s="1088" t="s">
        <v>687</v>
      </c>
      <c r="C39" s="1089"/>
      <c r="D39" s="1078"/>
      <c r="E39" s="1089"/>
      <c r="F39" s="1090"/>
    </row>
    <row r="40" spans="2:6" x14ac:dyDescent="0.2">
      <c r="B40" s="1091" t="s">
        <v>685</v>
      </c>
      <c r="C40" s="1080">
        <f>D103</f>
        <v>6.6565276139717167</v>
      </c>
      <c r="D40" s="1081">
        <f>E103</f>
        <v>192553.25615441435</v>
      </c>
      <c r="E40" s="1080">
        <f>G103</f>
        <v>7.2724764969387197</v>
      </c>
      <c r="F40" s="1082">
        <f>H103</f>
        <v>212336.66889012003</v>
      </c>
    </row>
    <row r="41" spans="2:6" x14ac:dyDescent="0.2">
      <c r="B41" s="194" t="s">
        <v>686</v>
      </c>
      <c r="C41" s="1080">
        <f>D113</f>
        <v>3</v>
      </c>
      <c r="D41" s="1081">
        <f>E113</f>
        <v>73358.446969204568</v>
      </c>
      <c r="E41" s="1080">
        <f>G113</f>
        <v>3.25</v>
      </c>
      <c r="F41" s="1082">
        <f>H113</f>
        <v>79471.650883304959</v>
      </c>
    </row>
    <row r="42" spans="2:6" ht="15" x14ac:dyDescent="0.25">
      <c r="B42" s="1083" t="s">
        <v>688</v>
      </c>
      <c r="C42" s="1086">
        <f>D114</f>
        <v>9.6565276139717167</v>
      </c>
      <c r="D42" s="1087">
        <f>E114</f>
        <v>265911.70312361891</v>
      </c>
      <c r="E42" s="1086">
        <f>G114</f>
        <v>10.522476496938719</v>
      </c>
      <c r="F42" s="1087">
        <f>H114</f>
        <v>291808.319773425</v>
      </c>
    </row>
    <row r="43" spans="2:6" ht="15" x14ac:dyDescent="0.25">
      <c r="B43" s="1092" t="s">
        <v>748</v>
      </c>
      <c r="C43" s="1093">
        <f>$E$159</f>
        <v>6.272371786261183</v>
      </c>
      <c r="D43" s="1094">
        <f>$D$159</f>
        <v>215268.39629440027</v>
      </c>
      <c r="E43" s="1095" t="s">
        <v>931</v>
      </c>
      <c r="F43" s="1096" t="s">
        <v>932</v>
      </c>
    </row>
    <row r="44" spans="2:6" ht="15" x14ac:dyDescent="0.25">
      <c r="B44" s="1097" t="s">
        <v>1069</v>
      </c>
      <c r="C44" s="1098">
        <f>C42+C43</f>
        <v>15.928899400232901</v>
      </c>
      <c r="D44" s="1087">
        <f>D42+D43</f>
        <v>481180.09941801918</v>
      </c>
      <c r="E44" s="1098">
        <f>E42</f>
        <v>10.522476496938719</v>
      </c>
      <c r="F44" s="1087">
        <f>F42</f>
        <v>291808.319773425</v>
      </c>
    </row>
    <row r="45" spans="2:6" x14ac:dyDescent="0.2">
      <c r="D45" s="1099"/>
      <c r="E45" s="1100"/>
    </row>
    <row r="46" spans="2:6" x14ac:dyDescent="0.2">
      <c r="B46" s="6" t="s">
        <v>625</v>
      </c>
    </row>
    <row r="47" spans="2:6" x14ac:dyDescent="0.2">
      <c r="B47" s="6" t="s">
        <v>1109</v>
      </c>
    </row>
    <row r="49" spans="1:13" ht="15" x14ac:dyDescent="0.25">
      <c r="B49" s="1070" t="s">
        <v>1020</v>
      </c>
    </row>
    <row r="51" spans="1:13" ht="15" x14ac:dyDescent="0.25">
      <c r="B51" s="1097" t="s">
        <v>670</v>
      </c>
      <c r="D51" s="194"/>
    </row>
    <row r="52" spans="1:13" ht="30" x14ac:dyDescent="0.25">
      <c r="B52" s="194"/>
      <c r="C52" s="1101" t="s">
        <v>646</v>
      </c>
      <c r="D52" s="1091"/>
      <c r="E52" s="1099"/>
      <c r="F52" s="1099"/>
      <c r="G52" s="1102"/>
      <c r="H52" s="8" t="s">
        <v>652</v>
      </c>
      <c r="K52" s="1103" t="s">
        <v>667</v>
      </c>
      <c r="L52" s="1104" t="s">
        <v>668</v>
      </c>
      <c r="M52" s="1105" t="s">
        <v>669</v>
      </c>
    </row>
    <row r="53" spans="1:13" ht="28.5" x14ac:dyDescent="0.2">
      <c r="A53" s="6" t="s">
        <v>651</v>
      </c>
      <c r="B53" s="1106"/>
      <c r="C53" s="1107" t="s">
        <v>644</v>
      </c>
      <c r="D53" s="1108" t="s">
        <v>643</v>
      </c>
      <c r="E53" s="1108" t="s">
        <v>649</v>
      </c>
      <c r="F53" s="1109" t="s">
        <v>57</v>
      </c>
      <c r="G53" s="1110" t="s">
        <v>623</v>
      </c>
      <c r="H53" s="1108" t="s">
        <v>644</v>
      </c>
      <c r="I53" s="1108" t="s">
        <v>643</v>
      </c>
      <c r="J53" s="1108" t="s">
        <v>654</v>
      </c>
      <c r="K53" s="1107" t="s">
        <v>739</v>
      </c>
      <c r="L53" s="1108" t="s">
        <v>739</v>
      </c>
      <c r="M53" s="1106"/>
    </row>
    <row r="54" spans="1:13" x14ac:dyDescent="0.2">
      <c r="B54" s="1111" t="s">
        <v>645</v>
      </c>
      <c r="C54" s="1112">
        <v>3220900</v>
      </c>
      <c r="D54" s="1113">
        <v>1684937</v>
      </c>
      <c r="E54" s="1113">
        <v>34511</v>
      </c>
      <c r="F54" s="1090">
        <v>2015</v>
      </c>
      <c r="G54" s="1114" t="s">
        <v>622</v>
      </c>
      <c r="H54" s="1113">
        <f>C54*C62</f>
        <v>3291750.8217496336</v>
      </c>
      <c r="I54" s="1113">
        <f>D54*C62</f>
        <v>1722000.9172424981</v>
      </c>
      <c r="J54" s="1090">
        <v>2017</v>
      </c>
      <c r="K54" s="1115">
        <f>(C54*1000000)/(E54*1000*H63)</f>
        <v>116662.07875749761</v>
      </c>
      <c r="L54" s="1116"/>
      <c r="M54" s="1117">
        <f>I54/H54</f>
        <v>0.52312614486634168</v>
      </c>
    </row>
    <row r="55" spans="1:13" x14ac:dyDescent="0.2">
      <c r="B55" s="1072" t="s">
        <v>679</v>
      </c>
      <c r="C55" s="1118"/>
      <c r="D55" s="1119"/>
      <c r="E55" s="1119"/>
      <c r="F55" s="1099"/>
      <c r="G55" s="1120"/>
      <c r="H55" s="1121"/>
      <c r="I55" s="1121"/>
      <c r="K55" s="1122"/>
      <c r="L55" s="1123"/>
      <c r="M55" s="1124"/>
    </row>
    <row r="56" spans="1:13" x14ac:dyDescent="0.2">
      <c r="B56" s="194" t="s">
        <v>740</v>
      </c>
      <c r="C56" s="1118"/>
      <c r="D56" s="1119"/>
      <c r="E56" s="1119"/>
      <c r="F56" s="1099"/>
      <c r="G56" s="1120"/>
      <c r="K56" s="1077"/>
      <c r="L56" s="1123"/>
      <c r="M56" s="1099"/>
    </row>
    <row r="57" spans="1:13" x14ac:dyDescent="0.2">
      <c r="B57" s="194" t="s">
        <v>741</v>
      </c>
      <c r="C57" s="1118"/>
      <c r="D57" s="1119"/>
      <c r="E57" s="1119"/>
      <c r="F57" s="1099"/>
      <c r="G57" s="1120"/>
      <c r="K57" s="1077"/>
      <c r="L57" s="1123"/>
      <c r="M57" s="1099"/>
    </row>
    <row r="58" spans="1:13" x14ac:dyDescent="0.2">
      <c r="B58" s="194" t="s">
        <v>647</v>
      </c>
      <c r="C58" s="1077"/>
      <c r="D58" s="1119">
        <v>3608</v>
      </c>
      <c r="E58" s="1099">
        <v>172</v>
      </c>
      <c r="F58" s="1099">
        <v>2016</v>
      </c>
      <c r="G58" s="1120" t="s">
        <v>650</v>
      </c>
      <c r="K58" s="1077"/>
      <c r="L58" s="1119">
        <f>(D58*1000000)/(E58*1000*H63)</f>
        <v>26220.930232558141</v>
      </c>
      <c r="M58" s="1099"/>
    </row>
    <row r="59" spans="1:13" x14ac:dyDescent="0.2">
      <c r="B59" s="194" t="s">
        <v>648</v>
      </c>
      <c r="C59" s="1077"/>
      <c r="D59" s="1119">
        <v>32661</v>
      </c>
      <c r="E59" s="1125">
        <v>1789</v>
      </c>
      <c r="F59" s="1099">
        <v>2016</v>
      </c>
      <c r="G59" s="1120" t="s">
        <v>650</v>
      </c>
      <c r="K59" s="1077"/>
      <c r="L59" s="1119">
        <f>(D59*1000000)/(E59*1000*H63)</f>
        <v>22820.709893795418</v>
      </c>
      <c r="M59" s="1099"/>
    </row>
    <row r="60" spans="1:13" x14ac:dyDescent="0.2">
      <c r="B60" s="1091"/>
      <c r="C60" s="1099"/>
      <c r="D60" s="1091"/>
      <c r="E60" s="1099"/>
      <c r="F60" s="1099"/>
      <c r="G60" s="1099"/>
      <c r="H60" s="1099"/>
      <c r="I60" s="1099"/>
      <c r="J60" s="1099"/>
      <c r="K60" s="1126"/>
      <c r="L60" s="1099"/>
      <c r="M60" s="1099"/>
    </row>
    <row r="61" spans="1:13" x14ac:dyDescent="0.2">
      <c r="B61" s="1127" t="s">
        <v>671</v>
      </c>
      <c r="C61" s="1099"/>
      <c r="D61" s="1091"/>
      <c r="E61" s="1099"/>
      <c r="F61" s="1099"/>
      <c r="G61" s="1099"/>
      <c r="H61" s="1099"/>
      <c r="I61" s="1099"/>
      <c r="J61" s="1099"/>
      <c r="K61" s="1126"/>
      <c r="L61" s="1099"/>
      <c r="M61" s="1099"/>
    </row>
    <row r="62" spans="1:13" x14ac:dyDescent="0.2">
      <c r="B62" s="194" t="s">
        <v>653</v>
      </c>
      <c r="C62" s="1128">
        <f>100/97.847625</f>
        <v>1.0219972125026029</v>
      </c>
      <c r="D62" s="194" t="s">
        <v>663</v>
      </c>
      <c r="K62" s="1129"/>
    </row>
    <row r="63" spans="1:13" x14ac:dyDescent="0.2">
      <c r="B63" s="194" t="s">
        <v>664</v>
      </c>
      <c r="C63" s="1128"/>
      <c r="D63" s="194"/>
      <c r="H63" s="1130">
        <v>0.8</v>
      </c>
      <c r="K63" s="1129"/>
    </row>
    <row r="64" spans="1:13" x14ac:dyDescent="0.2">
      <c r="B64" s="194" t="s">
        <v>655</v>
      </c>
      <c r="D64" s="194"/>
      <c r="K64" s="1129"/>
    </row>
    <row r="65" spans="2:12" x14ac:dyDescent="0.2">
      <c r="B65" s="194" t="s">
        <v>656</v>
      </c>
      <c r="D65" s="194"/>
      <c r="K65" s="1129"/>
    </row>
    <row r="66" spans="2:12" x14ac:dyDescent="0.2">
      <c r="B66" s="194"/>
      <c r="D66" s="194"/>
      <c r="K66" s="1129"/>
      <c r="L66" s="1131"/>
    </row>
    <row r="67" spans="2:12" ht="15" x14ac:dyDescent="0.25">
      <c r="B67" s="8" t="s">
        <v>1015</v>
      </c>
      <c r="K67" s="1129"/>
    </row>
    <row r="68" spans="2:12" x14ac:dyDescent="0.2">
      <c r="B68" s="194" t="s">
        <v>641</v>
      </c>
      <c r="C68" s="6">
        <v>1.2</v>
      </c>
      <c r="D68" s="194" t="s">
        <v>680</v>
      </c>
      <c r="K68" s="1129"/>
    </row>
    <row r="69" spans="2:12" x14ac:dyDescent="0.2">
      <c r="B69" s="194" t="s">
        <v>642</v>
      </c>
      <c r="C69" s="6">
        <v>1.3</v>
      </c>
      <c r="D69" s="194" t="s">
        <v>681</v>
      </c>
      <c r="K69" s="1129"/>
    </row>
    <row r="70" spans="2:12" x14ac:dyDescent="0.2">
      <c r="B70" s="194"/>
      <c r="D70" s="194"/>
      <c r="K70" s="1129"/>
    </row>
    <row r="71" spans="2:12" ht="15" x14ac:dyDescent="0.25">
      <c r="B71" s="1097" t="s">
        <v>677</v>
      </c>
      <c r="D71" s="194"/>
      <c r="K71" s="1129"/>
    </row>
    <row r="72" spans="2:12" ht="15" x14ac:dyDescent="0.25">
      <c r="B72" s="1097"/>
      <c r="D72" s="194"/>
      <c r="E72" s="1190"/>
      <c r="K72" s="1129"/>
    </row>
    <row r="73" spans="2:12" x14ac:dyDescent="0.2">
      <c r="B73" s="1072" t="s">
        <v>1066</v>
      </c>
      <c r="D73" s="194"/>
      <c r="K73" s="1129"/>
    </row>
    <row r="74" spans="2:12" x14ac:dyDescent="0.2">
      <c r="B74" s="1072" t="s">
        <v>923</v>
      </c>
      <c r="D74" s="194"/>
      <c r="K74" s="1129"/>
    </row>
    <row r="75" spans="2:12" x14ac:dyDescent="0.2">
      <c r="B75" s="1072" t="s">
        <v>1172</v>
      </c>
      <c r="D75" s="194"/>
      <c r="K75" s="1129"/>
    </row>
    <row r="76" spans="2:12" x14ac:dyDescent="0.2">
      <c r="B76" s="1132"/>
      <c r="C76" s="1099"/>
      <c r="D76" s="1099"/>
      <c r="E76" s="1099"/>
      <c r="F76" s="1099"/>
      <c r="G76" s="1099"/>
      <c r="H76" s="1099"/>
      <c r="K76" s="1129"/>
    </row>
    <row r="77" spans="2:12" ht="15" x14ac:dyDescent="0.25">
      <c r="B77" s="1099"/>
      <c r="C77" s="1294" t="s">
        <v>928</v>
      </c>
      <c r="D77" s="1295"/>
      <c r="E77" s="1296"/>
      <c r="F77" s="1297" t="s">
        <v>929</v>
      </c>
      <c r="G77" s="1298"/>
      <c r="H77" s="1298"/>
    </row>
    <row r="78" spans="2:12" ht="28.5" x14ac:dyDescent="0.2">
      <c r="B78" s="1106"/>
      <c r="C78" s="1133" t="s">
        <v>937</v>
      </c>
      <c r="D78" s="1075" t="s">
        <v>666</v>
      </c>
      <c r="E78" s="1074" t="s">
        <v>1059</v>
      </c>
      <c r="F78" s="1075" t="s">
        <v>937</v>
      </c>
      <c r="G78" s="1075" t="s">
        <v>666</v>
      </c>
      <c r="H78" s="1075" t="s">
        <v>1059</v>
      </c>
    </row>
    <row r="79" spans="2:12" ht="15" x14ac:dyDescent="0.25">
      <c r="B79" s="8" t="s">
        <v>678</v>
      </c>
      <c r="C79" s="1118"/>
      <c r="D79" s="1134"/>
      <c r="E79" s="1135">
        <f>C79</f>
        <v>0</v>
      </c>
      <c r="G79" s="1136"/>
      <c r="H79" s="1061"/>
    </row>
    <row r="80" spans="2:12" x14ac:dyDescent="0.2">
      <c r="B80" s="194" t="s">
        <v>673</v>
      </c>
      <c r="C80" s="1118">
        <f>-'Cost Projections'!H49</f>
        <v>157586.19444444444</v>
      </c>
      <c r="D80" s="1134">
        <f>SUM('Cost Projections'!H45:H48)</f>
        <v>5.5</v>
      </c>
      <c r="E80" s="1135">
        <f>C80</f>
        <v>157586.19444444444</v>
      </c>
      <c r="F80" s="1121">
        <f>C80</f>
        <v>157586.19444444444</v>
      </c>
      <c r="G80" s="1136">
        <f>D80</f>
        <v>5.5</v>
      </c>
      <c r="H80" s="1121">
        <f>E80</f>
        <v>157586.19444444444</v>
      </c>
    </row>
    <row r="81" spans="2:8" x14ac:dyDescent="0.2">
      <c r="B81" s="194" t="s">
        <v>674</v>
      </c>
      <c r="C81" s="1077"/>
      <c r="D81" s="1134"/>
      <c r="E81" s="1102"/>
      <c r="G81" s="1136"/>
    </row>
    <row r="82" spans="2:8" x14ac:dyDescent="0.2">
      <c r="B82" s="1059" t="s">
        <v>229</v>
      </c>
      <c r="C82" s="1118">
        <f>-'Cost Projections'!C79*'Cost Initial'!I37</f>
        <v>5495.5241276181869</v>
      </c>
      <c r="D82" s="1134">
        <f>C82/$K$54</f>
        <v>4.71063449764305E-2</v>
      </c>
      <c r="E82" s="1135">
        <f>C82*$M$54</f>
        <v>2874.8523509008678</v>
      </c>
      <c r="F82" s="1118">
        <f>-'Cost Projections'!C79*'Cost Initial'!J37</f>
        <v>10991.048255236374</v>
      </c>
      <c r="G82" s="1136">
        <f>F82/$K$54</f>
        <v>9.4212689952861001E-2</v>
      </c>
      <c r="H82" s="1121">
        <f>F82*$M$54</f>
        <v>5749.7047018017356</v>
      </c>
    </row>
    <row r="83" spans="2:8" x14ac:dyDescent="0.2">
      <c r="B83" s="1059" t="s">
        <v>230</v>
      </c>
      <c r="C83" s="1137">
        <f>'Cost Projections'!C80*'Cost Projections'!G20</f>
        <v>0</v>
      </c>
      <c r="D83" s="1134">
        <f>C83/$K$54</f>
        <v>0</v>
      </c>
      <c r="E83" s="1135">
        <f>C83*$M$54</f>
        <v>0</v>
      </c>
      <c r="F83" s="1071">
        <f>'Cost Projections'!C80*'Cost Projections'!G21</f>
        <v>0</v>
      </c>
      <c r="G83" s="1136">
        <f>F83/$K$54</f>
        <v>0</v>
      </c>
      <c r="H83" s="1121">
        <f>F83*$M$54</f>
        <v>0</v>
      </c>
    </row>
    <row r="84" spans="2:8" ht="28.5" x14ac:dyDescent="0.2">
      <c r="B84" s="1138" t="s">
        <v>675</v>
      </c>
      <c r="C84" s="1077">
        <f>-'Cost Initial'!$H$46*'Cost Initial'!I46</f>
        <v>0</v>
      </c>
      <c r="D84" s="1134">
        <f>C84/$K$54</f>
        <v>0</v>
      </c>
      <c r="E84" s="1135">
        <f>C84*$M$54</f>
        <v>0</v>
      </c>
      <c r="F84" s="6">
        <f>-'Cost Initial'!$H$46*'Cost Initial'!J46</f>
        <v>0</v>
      </c>
      <c r="G84" s="1136">
        <f>F84/$K$54</f>
        <v>0</v>
      </c>
      <c r="H84" s="1121">
        <f>F84*$M$54</f>
        <v>0</v>
      </c>
    </row>
    <row r="85" spans="2:8" x14ac:dyDescent="0.2">
      <c r="B85" s="1139" t="s">
        <v>684</v>
      </c>
      <c r="C85" s="1140"/>
      <c r="D85" s="1141">
        <f>SUM(D80:D84)</f>
        <v>5.5471063449764308</v>
      </c>
      <c r="E85" s="1142">
        <f>SUM(E80:E84)</f>
        <v>160461.04679534532</v>
      </c>
      <c r="F85" s="1143"/>
      <c r="G85" s="1141">
        <f>SUM(G80:G84)</f>
        <v>5.5942126899528608</v>
      </c>
      <c r="H85" s="1142">
        <f>SUM(H80:H84)</f>
        <v>163335.89914624617</v>
      </c>
    </row>
    <row r="86" spans="2:8" ht="15" x14ac:dyDescent="0.25">
      <c r="B86" s="1144" t="s">
        <v>678</v>
      </c>
      <c r="C86" s="1077"/>
      <c r="D86" s="1145"/>
      <c r="E86" s="1146"/>
      <c r="F86" s="1147"/>
      <c r="G86" s="1145"/>
      <c r="H86" s="1148"/>
    </row>
    <row r="87" spans="2:8" x14ac:dyDescent="0.2">
      <c r="B87" s="1149" t="s">
        <v>676</v>
      </c>
      <c r="C87" s="1077"/>
      <c r="D87" s="1134"/>
      <c r="E87" s="1135"/>
      <c r="G87" s="1136"/>
    </row>
    <row r="88" spans="2:8" x14ac:dyDescent="0.2">
      <c r="B88" s="1059" t="str">
        <f>Values!$B$128</f>
        <v>Tenant graziers (combined for all)</v>
      </c>
      <c r="C88" s="1077"/>
      <c r="D88" s="1134">
        <f>Values!D128</f>
        <v>0</v>
      </c>
      <c r="E88" s="1135"/>
      <c r="G88" s="1136">
        <f>D88</f>
        <v>0</v>
      </c>
    </row>
    <row r="89" spans="2:8" x14ac:dyDescent="0.2">
      <c r="B89" s="1059" t="str">
        <f>Values!$B$129</f>
        <v>Tenant arable farmers (for all)</v>
      </c>
      <c r="C89" s="1077"/>
      <c r="D89" s="1134">
        <f>Values!D129</f>
        <v>0</v>
      </c>
      <c r="E89" s="1135"/>
      <c r="G89" s="1136">
        <f t="shared" ref="G89:G92" si="0">D89</f>
        <v>0</v>
      </c>
    </row>
    <row r="90" spans="2:8" x14ac:dyDescent="0.2">
      <c r="B90" s="1059" t="str">
        <f>Values!$B$130</f>
        <v>Shoots (combined for all)</v>
      </c>
      <c r="C90" s="1077"/>
      <c r="D90" s="1134">
        <f>Values!D130</f>
        <v>0</v>
      </c>
      <c r="E90" s="1135"/>
      <c r="G90" s="1136">
        <f t="shared" si="0"/>
        <v>0</v>
      </c>
    </row>
    <row r="91" spans="2:8" x14ac:dyDescent="0.2">
      <c r="B91" s="1059" t="str">
        <f>Values!$B$131</f>
        <v>Shop or other retail outlet</v>
      </c>
      <c r="C91" s="1077"/>
      <c r="D91" s="1134">
        <f>Values!D131</f>
        <v>1.2</v>
      </c>
      <c r="E91" s="1135">
        <f>D91*$L58</f>
        <v>31465.116279069767</v>
      </c>
      <c r="G91" s="1136">
        <f t="shared" si="0"/>
        <v>1.2</v>
      </c>
      <c r="H91" s="1121">
        <f>E91</f>
        <v>31465.116279069767</v>
      </c>
    </row>
    <row r="92" spans="2:8" x14ac:dyDescent="0.2">
      <c r="B92" s="1059" t="str">
        <f>Values!$B$132</f>
        <v>Café or other food / drink outlet</v>
      </c>
      <c r="C92" s="1077"/>
      <c r="D92" s="1134">
        <f>Values!D132</f>
        <v>1.3</v>
      </c>
      <c r="E92" s="1135">
        <f>D92*$L59</f>
        <v>29666.922861934043</v>
      </c>
      <c r="G92" s="1136">
        <f t="shared" si="0"/>
        <v>1.3</v>
      </c>
      <c r="H92" s="1121">
        <f>E92</f>
        <v>29666.922861934043</v>
      </c>
    </row>
    <row r="93" spans="2:8" x14ac:dyDescent="0.2">
      <c r="B93" s="1059" t="str">
        <f>Values!$B$133</f>
        <v>Other (enter details here)</v>
      </c>
      <c r="C93" s="1077"/>
      <c r="D93" s="1134">
        <f>Values!D133</f>
        <v>0</v>
      </c>
      <c r="E93" s="1135"/>
      <c r="G93" s="1136">
        <f>D93</f>
        <v>0</v>
      </c>
    </row>
    <row r="94" spans="2:8" x14ac:dyDescent="0.2">
      <c r="B94" s="1059" t="str">
        <f>Values!$B$134</f>
        <v>Other (enter details here)</v>
      </c>
      <c r="C94" s="1077"/>
      <c r="D94" s="1134">
        <f>Values!D134</f>
        <v>0</v>
      </c>
      <c r="E94" s="1135"/>
      <c r="G94" s="1136">
        <f>D94</f>
        <v>0</v>
      </c>
    </row>
    <row r="95" spans="2:8" x14ac:dyDescent="0.2">
      <c r="B95" s="1150" t="s">
        <v>917</v>
      </c>
      <c r="C95" s="1140"/>
      <c r="D95" s="1141">
        <f>SUM(D88:D94)</f>
        <v>2.5</v>
      </c>
      <c r="E95" s="1142">
        <f>SUM(E88:E94)</f>
        <v>61132.039141003814</v>
      </c>
      <c r="F95" s="1143"/>
      <c r="G95" s="1141">
        <f>SUM(G88:G94)</f>
        <v>2.5</v>
      </c>
      <c r="H95" s="1151">
        <f>SUM(H88:H94)</f>
        <v>61132.039141003814</v>
      </c>
    </row>
    <row r="96" spans="2:8" ht="30" x14ac:dyDescent="0.25">
      <c r="B96" s="1152" t="s">
        <v>918</v>
      </c>
      <c r="C96" s="1140"/>
      <c r="D96" s="1153">
        <f>D85+D95</f>
        <v>8.0471063449764308</v>
      </c>
      <c r="E96" s="1154">
        <f>E85+E95</f>
        <v>221593.08593634912</v>
      </c>
      <c r="F96" s="1155"/>
      <c r="G96" s="1153">
        <f>G85+G95</f>
        <v>8.0942126899528617</v>
      </c>
      <c r="H96" s="1156">
        <f>H85+H95</f>
        <v>224467.93828725</v>
      </c>
    </row>
    <row r="97" spans="2:8" ht="15" x14ac:dyDescent="0.25">
      <c r="B97" s="1097" t="s">
        <v>690</v>
      </c>
      <c r="C97" s="1077"/>
      <c r="D97" s="1134"/>
      <c r="E97" s="1102"/>
      <c r="G97" s="1136"/>
    </row>
    <row r="98" spans="2:8" x14ac:dyDescent="0.2">
      <c r="B98" s="194" t="s">
        <v>691</v>
      </c>
      <c r="C98" s="1077"/>
      <c r="D98" s="1100">
        <f>D80*$C$68</f>
        <v>6.6</v>
      </c>
      <c r="E98" s="1135">
        <f>E80*$C$68</f>
        <v>189103.43333333332</v>
      </c>
      <c r="G98" s="1157">
        <f>G80*$C$69</f>
        <v>7.15</v>
      </c>
      <c r="H98" s="1121">
        <f>H80*$C$69</f>
        <v>204862.05277777778</v>
      </c>
    </row>
    <row r="99" spans="2:8" x14ac:dyDescent="0.2">
      <c r="B99" s="194" t="s">
        <v>665</v>
      </c>
      <c r="C99" s="1077"/>
      <c r="D99" s="1100"/>
      <c r="E99" s="1135"/>
      <c r="G99" s="1157"/>
    </row>
    <row r="100" spans="2:8" x14ac:dyDescent="0.2">
      <c r="B100" s="1059" t="s">
        <v>229</v>
      </c>
      <c r="C100" s="1077"/>
      <c r="D100" s="1100">
        <f t="shared" ref="D100:E102" si="1">D82*$C$68</f>
        <v>5.65276139717166E-2</v>
      </c>
      <c r="E100" s="1135">
        <f t="shared" si="1"/>
        <v>3449.8228210810412</v>
      </c>
      <c r="G100" s="1157">
        <f t="shared" ref="G100:H102" si="2">G82*$C$69</f>
        <v>0.1224764969387193</v>
      </c>
      <c r="H100" s="1121">
        <f t="shared" si="2"/>
        <v>7474.6161123422562</v>
      </c>
    </row>
    <row r="101" spans="2:8" x14ac:dyDescent="0.2">
      <c r="B101" s="1059" t="s">
        <v>230</v>
      </c>
      <c r="C101" s="1077"/>
      <c r="D101" s="1100">
        <f t="shared" si="1"/>
        <v>0</v>
      </c>
      <c r="E101" s="1135">
        <f t="shared" si="1"/>
        <v>0</v>
      </c>
      <c r="G101" s="1157">
        <f t="shared" si="2"/>
        <v>0</v>
      </c>
      <c r="H101" s="1121">
        <f t="shared" si="2"/>
        <v>0</v>
      </c>
    </row>
    <row r="102" spans="2:8" ht="28.5" x14ac:dyDescent="0.2">
      <c r="B102" s="1138" t="s">
        <v>244</v>
      </c>
      <c r="C102" s="1077"/>
      <c r="D102" s="1100">
        <f t="shared" si="1"/>
        <v>0</v>
      </c>
      <c r="E102" s="1135">
        <f t="shared" si="1"/>
        <v>0</v>
      </c>
      <c r="G102" s="1157">
        <f t="shared" si="2"/>
        <v>0</v>
      </c>
      <c r="H102" s="1121">
        <f t="shared" si="2"/>
        <v>0</v>
      </c>
    </row>
    <row r="103" spans="2:8" ht="29.25" customHeight="1" x14ac:dyDescent="0.2">
      <c r="B103" s="1139" t="s">
        <v>921</v>
      </c>
      <c r="C103" s="1140"/>
      <c r="D103" s="1158">
        <f>SUM(D98:D102)</f>
        <v>6.6565276139717167</v>
      </c>
      <c r="E103" s="1142">
        <f>SUM(E98:E102)</f>
        <v>192553.25615441435</v>
      </c>
      <c r="F103" s="1143"/>
      <c r="G103" s="1158">
        <f>SUM(G98:G102)</f>
        <v>7.2724764969387197</v>
      </c>
      <c r="H103" s="1151">
        <f>SUM(H98:H102)</f>
        <v>212336.66889012003</v>
      </c>
    </row>
    <row r="104" spans="2:8" ht="15" x14ac:dyDescent="0.25">
      <c r="B104" s="1097" t="s">
        <v>690</v>
      </c>
      <c r="C104" s="1077"/>
      <c r="D104" s="1159"/>
      <c r="E104" s="1160"/>
      <c r="F104" s="1147"/>
      <c r="G104" s="1159"/>
      <c r="H104" s="1161"/>
    </row>
    <row r="105" spans="2:8" x14ac:dyDescent="0.2">
      <c r="B105" s="1149" t="s">
        <v>692</v>
      </c>
      <c r="C105" s="1077"/>
      <c r="D105" s="1100"/>
      <c r="E105" s="1135"/>
      <c r="G105" s="1157"/>
    </row>
    <row r="106" spans="2:8" x14ac:dyDescent="0.2">
      <c r="B106" s="194" t="str">
        <f>Values!$B$128</f>
        <v>Tenant graziers (combined for all)</v>
      </c>
      <c r="C106" s="1077"/>
      <c r="D106" s="1100">
        <f t="shared" ref="D106:E112" si="3">D88*$C$68</f>
        <v>0</v>
      </c>
      <c r="E106" s="1135">
        <f t="shared" si="3"/>
        <v>0</v>
      </c>
      <c r="G106" s="1157">
        <f t="shared" ref="G106:H112" si="4">G88*$C$69</f>
        <v>0</v>
      </c>
      <c r="H106" s="1121">
        <f t="shared" si="4"/>
        <v>0</v>
      </c>
    </row>
    <row r="107" spans="2:8" x14ac:dyDescent="0.2">
      <c r="B107" s="194" t="str">
        <f>Values!$B$129</f>
        <v>Tenant arable farmers (for all)</v>
      </c>
      <c r="C107" s="1077"/>
      <c r="D107" s="1100">
        <f t="shared" si="3"/>
        <v>0</v>
      </c>
      <c r="E107" s="1135">
        <f t="shared" si="3"/>
        <v>0</v>
      </c>
      <c r="G107" s="1157">
        <f t="shared" si="4"/>
        <v>0</v>
      </c>
      <c r="H107" s="1121">
        <f t="shared" si="4"/>
        <v>0</v>
      </c>
    </row>
    <row r="108" spans="2:8" x14ac:dyDescent="0.2">
      <c r="B108" s="194" t="str">
        <f>Values!$B$130</f>
        <v>Shoots (combined for all)</v>
      </c>
      <c r="C108" s="1077"/>
      <c r="D108" s="1100">
        <f t="shared" si="3"/>
        <v>0</v>
      </c>
      <c r="E108" s="1135">
        <f t="shared" si="3"/>
        <v>0</v>
      </c>
      <c r="G108" s="1157">
        <f t="shared" si="4"/>
        <v>0</v>
      </c>
      <c r="H108" s="1121">
        <f t="shared" si="4"/>
        <v>0</v>
      </c>
    </row>
    <row r="109" spans="2:8" x14ac:dyDescent="0.2">
      <c r="B109" s="194" t="str">
        <f>Values!$B$131</f>
        <v>Shop or other retail outlet</v>
      </c>
      <c r="C109" s="1077"/>
      <c r="D109" s="1100">
        <f>D91*$C$68</f>
        <v>1.44</v>
      </c>
      <c r="E109" s="1135">
        <f>E91*$C$68</f>
        <v>37758.139534883718</v>
      </c>
      <c r="G109" s="1157">
        <f t="shared" si="4"/>
        <v>1.56</v>
      </c>
      <c r="H109" s="1121">
        <f>H91*$C$69</f>
        <v>40904.651162790702</v>
      </c>
    </row>
    <row r="110" spans="2:8" x14ac:dyDescent="0.2">
      <c r="B110" s="194" t="str">
        <f>Values!$B$132</f>
        <v>Café or other food / drink outlet</v>
      </c>
      <c r="C110" s="1077"/>
      <c r="D110" s="1100">
        <f>D92*$C$68</f>
        <v>1.56</v>
      </c>
      <c r="E110" s="1135">
        <f>E92*$C$68</f>
        <v>35600.30743432085</v>
      </c>
      <c r="G110" s="1157">
        <f t="shared" si="4"/>
        <v>1.6900000000000002</v>
      </c>
      <c r="H110" s="1121">
        <f>H92*$C$69</f>
        <v>38566.999720514257</v>
      </c>
    </row>
    <row r="111" spans="2:8" x14ac:dyDescent="0.2">
      <c r="B111" s="194" t="str">
        <f>Values!$B$133</f>
        <v>Other (enter details here)</v>
      </c>
      <c r="C111" s="1077"/>
      <c r="D111" s="1100">
        <f t="shared" si="3"/>
        <v>0</v>
      </c>
      <c r="E111" s="1135">
        <f t="shared" si="3"/>
        <v>0</v>
      </c>
      <c r="G111" s="1157">
        <f t="shared" si="4"/>
        <v>0</v>
      </c>
      <c r="H111" s="1121">
        <f t="shared" si="4"/>
        <v>0</v>
      </c>
    </row>
    <row r="112" spans="2:8" x14ac:dyDescent="0.2">
      <c r="B112" s="194" t="str">
        <f>Values!$B$134</f>
        <v>Other (enter details here)</v>
      </c>
      <c r="C112" s="1077"/>
      <c r="D112" s="1100">
        <f t="shared" si="3"/>
        <v>0</v>
      </c>
      <c r="E112" s="1135">
        <f t="shared" si="3"/>
        <v>0</v>
      </c>
      <c r="G112" s="1157">
        <f t="shared" si="4"/>
        <v>0</v>
      </c>
      <c r="H112" s="1121">
        <f t="shared" si="4"/>
        <v>0</v>
      </c>
    </row>
    <row r="113" spans="2:8" ht="28.5" x14ac:dyDescent="0.2">
      <c r="B113" s="1139" t="s">
        <v>919</v>
      </c>
      <c r="C113" s="1140"/>
      <c r="D113" s="1158">
        <f>SUM(D106:D112)</f>
        <v>3</v>
      </c>
      <c r="E113" s="1142">
        <f>SUM(E106:E112)</f>
        <v>73358.446969204568</v>
      </c>
      <c r="F113" s="1162"/>
      <c r="G113" s="1158">
        <f>SUM(G106:G112)</f>
        <v>3.25</v>
      </c>
      <c r="H113" s="1151">
        <f>SUM(H106:H112)</f>
        <v>79471.650883304959</v>
      </c>
    </row>
    <row r="114" spans="2:8" ht="30" x14ac:dyDescent="0.25">
      <c r="B114" s="1152" t="s">
        <v>920</v>
      </c>
      <c r="C114" s="1140"/>
      <c r="D114" s="1163">
        <f>D103+D113</f>
        <v>9.6565276139717167</v>
      </c>
      <c r="E114" s="1154">
        <f>E103+E113</f>
        <v>265911.70312361891</v>
      </c>
      <c r="F114" s="1164"/>
      <c r="G114" s="1163">
        <f>G103+G113</f>
        <v>10.522476496938719</v>
      </c>
      <c r="H114" s="1156">
        <f>H103+H113</f>
        <v>291808.319773425</v>
      </c>
    </row>
    <row r="115" spans="2:8" x14ac:dyDescent="0.2">
      <c r="B115" s="194"/>
      <c r="E115" s="1121"/>
    </row>
    <row r="116" spans="2:8" x14ac:dyDescent="0.2">
      <c r="B116" s="194"/>
      <c r="E116" s="1121"/>
    </row>
    <row r="117" spans="2:8" ht="15" x14ac:dyDescent="0.25">
      <c r="B117" s="1070" t="s">
        <v>742</v>
      </c>
      <c r="E117" s="1121"/>
    </row>
    <row r="118" spans="2:8" ht="15" x14ac:dyDescent="0.25">
      <c r="B118" s="8"/>
      <c r="E118" s="1121"/>
    </row>
    <row r="119" spans="2:8" ht="15" x14ac:dyDescent="0.25">
      <c r="B119" s="8" t="s">
        <v>693</v>
      </c>
      <c r="E119" s="1121"/>
    </row>
    <row r="120" spans="2:8" ht="15" x14ac:dyDescent="0.25">
      <c r="B120" s="8"/>
      <c r="E120" s="1121"/>
    </row>
    <row r="121" spans="2:8" ht="15" x14ac:dyDescent="0.25">
      <c r="B121" s="1165"/>
      <c r="C121" s="1166"/>
      <c r="D121" s="1295" t="s">
        <v>726</v>
      </c>
      <c r="E121" s="1302"/>
    </row>
    <row r="122" spans="2:8" x14ac:dyDescent="0.2">
      <c r="B122" s="1106"/>
      <c r="C122" s="1167" t="s">
        <v>700</v>
      </c>
      <c r="D122" s="1075" t="s">
        <v>701</v>
      </c>
      <c r="E122" s="1075" t="s">
        <v>706</v>
      </c>
    </row>
    <row r="123" spans="2:8" x14ac:dyDescent="0.2">
      <c r="B123" s="6" t="s">
        <v>702</v>
      </c>
      <c r="C123" s="1168">
        <v>0.14000000000000001</v>
      </c>
      <c r="D123" s="6">
        <v>4.92</v>
      </c>
      <c r="E123" s="1169">
        <f>D123*$C$130</f>
        <v>5.507347607661929</v>
      </c>
    </row>
    <row r="124" spans="2:8" x14ac:dyDescent="0.2">
      <c r="B124" s="1170" t="s">
        <v>704</v>
      </c>
      <c r="C124" s="1168">
        <v>7.0000000000000007E-2</v>
      </c>
      <c r="D124" s="6">
        <v>55.96</v>
      </c>
      <c r="E124" s="1169">
        <f>D124*$C$130</f>
        <v>62.640482139179184</v>
      </c>
    </row>
    <row r="125" spans="2:8" ht="15" x14ac:dyDescent="0.25">
      <c r="B125" s="8"/>
      <c r="E125" s="1121"/>
    </row>
    <row r="126" spans="2:8" x14ac:dyDescent="0.2">
      <c r="B126" s="6" t="s">
        <v>703</v>
      </c>
      <c r="E126" s="1121"/>
    </row>
    <row r="127" spans="2:8" x14ac:dyDescent="0.2">
      <c r="B127" s="194" t="s">
        <v>924</v>
      </c>
      <c r="E127" s="1121"/>
    </row>
    <row r="128" spans="2:8" x14ac:dyDescent="0.2">
      <c r="B128" s="194" t="s">
        <v>727</v>
      </c>
      <c r="E128" s="1121"/>
    </row>
    <row r="129" spans="2:5" x14ac:dyDescent="0.2">
      <c r="B129" s="194" t="s">
        <v>728</v>
      </c>
      <c r="E129" s="1121"/>
    </row>
    <row r="130" spans="2:5" x14ac:dyDescent="0.2">
      <c r="B130" s="194" t="s">
        <v>925</v>
      </c>
      <c r="C130" s="1128">
        <f>100/89.3352</f>
        <v>1.1193795950532377</v>
      </c>
      <c r="D130" s="194" t="s">
        <v>705</v>
      </c>
      <c r="E130" s="1121"/>
    </row>
    <row r="131" spans="2:5" ht="15" x14ac:dyDescent="0.25">
      <c r="B131" s="8"/>
      <c r="E131" s="1121"/>
    </row>
    <row r="132" spans="2:5" ht="15" x14ac:dyDescent="0.25">
      <c r="B132" s="6" t="s">
        <v>1035</v>
      </c>
    </row>
    <row r="134" spans="2:5" ht="15" x14ac:dyDescent="0.25">
      <c r="B134" s="1171"/>
      <c r="C134" s="1133" t="s">
        <v>730</v>
      </c>
      <c r="D134" s="1172" t="s">
        <v>733</v>
      </c>
    </row>
    <row r="135" spans="2:5" x14ac:dyDescent="0.2">
      <c r="B135" s="6" t="s">
        <v>738</v>
      </c>
      <c r="C135" s="1173">
        <v>63000</v>
      </c>
      <c r="D135" s="1174">
        <f>C135*$C$143</f>
        <v>65759.653164800737</v>
      </c>
    </row>
    <row r="136" spans="2:5" x14ac:dyDescent="0.2">
      <c r="B136" s="6" t="s">
        <v>731</v>
      </c>
      <c r="C136" s="1175">
        <v>0.5</v>
      </c>
      <c r="D136" s="1128">
        <f>C136*$C$143</f>
        <v>0.52190200924445029</v>
      </c>
    </row>
    <row r="137" spans="2:5" x14ac:dyDescent="0.2">
      <c r="C137" s="1128"/>
    </row>
    <row r="138" spans="2:5" x14ac:dyDescent="0.2">
      <c r="B138" s="1176" t="s">
        <v>737</v>
      </c>
      <c r="C138" s="1128"/>
    </row>
    <row r="139" spans="2:5" x14ac:dyDescent="0.2">
      <c r="B139" s="1072"/>
      <c r="C139" s="1128"/>
    </row>
    <row r="140" spans="2:5" x14ac:dyDescent="0.2">
      <c r="B140" s="1072" t="s">
        <v>736</v>
      </c>
      <c r="C140" s="1128"/>
    </row>
    <row r="141" spans="2:5" x14ac:dyDescent="0.2">
      <c r="B141" s="1072" t="s">
        <v>922</v>
      </c>
    </row>
    <row r="142" spans="2:5" x14ac:dyDescent="0.2">
      <c r="B142" s="1072" t="s">
        <v>732</v>
      </c>
    </row>
    <row r="143" spans="2:5" x14ac:dyDescent="0.2">
      <c r="B143" s="1072" t="s">
        <v>735</v>
      </c>
      <c r="C143" s="1128">
        <f>100/95.803425</f>
        <v>1.0438040184889006</v>
      </c>
      <c r="D143" s="6" t="s">
        <v>734</v>
      </c>
    </row>
    <row r="144" spans="2:5" x14ac:dyDescent="0.2">
      <c r="B144" s="1072"/>
      <c r="C144" s="1128"/>
    </row>
    <row r="145" spans="2:5" ht="15" x14ac:dyDescent="0.25">
      <c r="B145" s="8" t="s">
        <v>725</v>
      </c>
      <c r="C145" s="1128"/>
    </row>
    <row r="146" spans="2:5" ht="15" x14ac:dyDescent="0.25">
      <c r="B146" s="8"/>
    </row>
    <row r="147" spans="2:5" x14ac:dyDescent="0.2">
      <c r="B147" s="6" t="s">
        <v>729</v>
      </c>
    </row>
    <row r="148" spans="2:5" x14ac:dyDescent="0.2">
      <c r="B148" s="6" t="s">
        <v>934</v>
      </c>
    </row>
    <row r="149" spans="2:5" x14ac:dyDescent="0.2">
      <c r="B149" s="6" t="s">
        <v>926</v>
      </c>
    </row>
    <row r="152" spans="2:5" ht="15" x14ac:dyDescent="0.25">
      <c r="B152" s="8"/>
      <c r="C152" s="1101" t="s">
        <v>930</v>
      </c>
    </row>
    <row r="153" spans="2:5" ht="15" x14ac:dyDescent="0.25">
      <c r="B153" s="8"/>
      <c r="C153" s="1101"/>
      <c r="D153" s="1177" t="s">
        <v>747</v>
      </c>
    </row>
    <row r="154" spans="2:5" x14ac:dyDescent="0.2">
      <c r="C154" s="1060" t="s">
        <v>719</v>
      </c>
      <c r="D154" s="1060" t="s">
        <v>1060</v>
      </c>
      <c r="E154" s="1061" t="s">
        <v>745</v>
      </c>
    </row>
    <row r="155" spans="2:5" x14ac:dyDescent="0.2">
      <c r="C155" s="1060" t="s">
        <v>721</v>
      </c>
      <c r="D155" s="1060" t="s">
        <v>744</v>
      </c>
      <c r="E155" s="1061" t="s">
        <v>744</v>
      </c>
    </row>
    <row r="156" spans="2:5" x14ac:dyDescent="0.2">
      <c r="B156" s="1178"/>
      <c r="C156" s="1179" t="s">
        <v>722</v>
      </c>
      <c r="D156" s="1179" t="s">
        <v>743</v>
      </c>
      <c r="E156" s="1109" t="s">
        <v>746</v>
      </c>
    </row>
    <row r="157" spans="2:5" x14ac:dyDescent="0.2">
      <c r="B157" s="6" t="s">
        <v>702</v>
      </c>
      <c r="C157" s="1180">
        <f>IF(Values!Q146&gt;0,Values!Q146,'X Economy Contrib'!E123*'X Economy Contrib'!C123*'G &amp; S Initial'!C32)</f>
        <v>61682.293205813607</v>
      </c>
      <c r="D157" s="1173">
        <f>C157*$D$136</f>
        <v>32192.112758919426</v>
      </c>
      <c r="E157" s="1129">
        <f>C157/$D$135</f>
        <v>0.93799602396367832</v>
      </c>
    </row>
    <row r="158" spans="2:5" x14ac:dyDescent="0.2">
      <c r="B158" s="1170" t="s">
        <v>704</v>
      </c>
      <c r="C158" s="1180">
        <f>IF(Values!Q147&gt;0,Values!Q147,'X Economy Contrib'!E124*'X Economy Contrib'!C124*'G &amp; S Initial'!C32)</f>
        <v>350786.69997940346</v>
      </c>
      <c r="D158" s="1173">
        <f>C158*$D$136</f>
        <v>183076.28353548085</v>
      </c>
      <c r="E158" s="1129">
        <f>C158/$D$135</f>
        <v>5.3343757622975048</v>
      </c>
    </row>
    <row r="159" spans="2:5" ht="15" x14ac:dyDescent="0.25">
      <c r="B159" s="1097" t="s">
        <v>688</v>
      </c>
      <c r="C159" s="1181">
        <f>C157+C158</f>
        <v>412468.99318521708</v>
      </c>
      <c r="D159" s="1182">
        <f>D157+D158</f>
        <v>215268.39629440027</v>
      </c>
      <c r="E159" s="1183">
        <f t="shared" ref="E159" si="5">E157+E158</f>
        <v>6.272371786261183</v>
      </c>
    </row>
    <row r="160" spans="2:5" x14ac:dyDescent="0.2">
      <c r="B160" s="1072"/>
      <c r="C160" s="1128"/>
    </row>
    <row r="161" spans="2:2" ht="15" x14ac:dyDescent="0.25">
      <c r="B161" s="1097" t="s">
        <v>625</v>
      </c>
    </row>
    <row r="162" spans="2:2" x14ac:dyDescent="0.2">
      <c r="B162" s="1184"/>
    </row>
    <row r="163" spans="2:2" x14ac:dyDescent="0.2">
      <c r="B163" s="1072" t="s">
        <v>1048</v>
      </c>
    </row>
    <row r="164" spans="2:2" x14ac:dyDescent="0.2">
      <c r="B164" s="194" t="s">
        <v>1051</v>
      </c>
    </row>
    <row r="165" spans="2:2" x14ac:dyDescent="0.2">
      <c r="B165" s="194" t="s">
        <v>1050</v>
      </c>
    </row>
    <row r="166" spans="2:2" x14ac:dyDescent="0.2">
      <c r="B166" s="194" t="s">
        <v>1047</v>
      </c>
    </row>
    <row r="167" spans="2:2" x14ac:dyDescent="0.2">
      <c r="B167" s="1072" t="s">
        <v>1054</v>
      </c>
    </row>
    <row r="168" spans="2:2" x14ac:dyDescent="0.2">
      <c r="B168" s="194" t="s">
        <v>1055</v>
      </c>
    </row>
    <row r="169" spans="2:2" x14ac:dyDescent="0.2">
      <c r="B169" s="194" t="s">
        <v>1171</v>
      </c>
    </row>
    <row r="170" spans="2:2" x14ac:dyDescent="0.2">
      <c r="B170" s="194" t="s">
        <v>1056</v>
      </c>
    </row>
    <row r="171" spans="2:2" x14ac:dyDescent="0.2">
      <c r="B171" s="1072" t="s">
        <v>672</v>
      </c>
    </row>
    <row r="172" spans="2:2" x14ac:dyDescent="0.2">
      <c r="B172" s="1072" t="s">
        <v>936</v>
      </c>
    </row>
    <row r="173" spans="2:2" x14ac:dyDescent="0.2">
      <c r="B173" s="194" t="s">
        <v>1064</v>
      </c>
    </row>
    <row r="174" spans="2:2" x14ac:dyDescent="0.2">
      <c r="B174" s="194" t="s">
        <v>935</v>
      </c>
    </row>
    <row r="175" spans="2:2" x14ac:dyDescent="0.2">
      <c r="B175" s="1072" t="s">
        <v>927</v>
      </c>
    </row>
    <row r="176" spans="2:2" x14ac:dyDescent="0.2">
      <c r="B176" s="1072" t="s">
        <v>1110</v>
      </c>
    </row>
    <row r="177" spans="2:2" x14ac:dyDescent="0.2">
      <c r="B177" s="1072" t="s">
        <v>1067</v>
      </c>
    </row>
    <row r="178" spans="2:2" x14ac:dyDescent="0.2">
      <c r="B178" s="6" t="s">
        <v>694</v>
      </c>
    </row>
    <row r="179" spans="2:2" x14ac:dyDescent="0.2">
      <c r="B179" s="194" t="s">
        <v>696</v>
      </c>
    </row>
    <row r="180" spans="2:2" x14ac:dyDescent="0.2">
      <c r="B180" s="194" t="s">
        <v>695</v>
      </c>
    </row>
    <row r="181" spans="2:2" x14ac:dyDescent="0.2">
      <c r="B181" s="194" t="s">
        <v>697</v>
      </c>
    </row>
    <row r="182" spans="2:2" x14ac:dyDescent="0.2">
      <c r="B182" s="194" t="s">
        <v>698</v>
      </c>
    </row>
    <row r="183" spans="2:2" x14ac:dyDescent="0.2">
      <c r="B183" s="194" t="s">
        <v>699</v>
      </c>
    </row>
    <row r="184" spans="2:2" x14ac:dyDescent="0.2">
      <c r="B184" s="194" t="s">
        <v>708</v>
      </c>
    </row>
    <row r="185" spans="2:2" x14ac:dyDescent="0.2">
      <c r="B185" s="194"/>
    </row>
    <row r="186" spans="2:2" ht="15" x14ac:dyDescent="0.25">
      <c r="B186" s="8" t="s">
        <v>620</v>
      </c>
    </row>
    <row r="187" spans="2:2" x14ac:dyDescent="0.2">
      <c r="B187" s="1185" t="s">
        <v>1036</v>
      </c>
    </row>
    <row r="188" spans="2:2" x14ac:dyDescent="0.2">
      <c r="B188" s="1185" t="s">
        <v>1111</v>
      </c>
    </row>
    <row r="189" spans="2:2" x14ac:dyDescent="0.2">
      <c r="B189" s="6" t="s">
        <v>1037</v>
      </c>
    </row>
    <row r="190" spans="2:2" x14ac:dyDescent="0.2">
      <c r="B190" s="6" t="s">
        <v>1038</v>
      </c>
    </row>
    <row r="191" spans="2:2" x14ac:dyDescent="0.2">
      <c r="B191" s="6" t="s">
        <v>1049</v>
      </c>
    </row>
    <row r="192" spans="2:2" x14ac:dyDescent="0.2">
      <c r="B192" s="6" t="s">
        <v>707</v>
      </c>
    </row>
    <row r="193" spans="2:2" x14ac:dyDescent="0.2">
      <c r="B193" s="6" t="s">
        <v>1039</v>
      </c>
    </row>
    <row r="194" spans="2:2" x14ac:dyDescent="0.2">
      <c r="B194" s="6" t="s">
        <v>1040</v>
      </c>
    </row>
    <row r="195" spans="2:2" x14ac:dyDescent="0.2">
      <c r="B195" s="6" t="s">
        <v>1041</v>
      </c>
    </row>
  </sheetData>
  <mergeCells count="5">
    <mergeCell ref="C77:E77"/>
    <mergeCell ref="F77:H77"/>
    <mergeCell ref="C33:D33"/>
    <mergeCell ref="E33:F33"/>
    <mergeCell ref="D121:E121"/>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80" zoomScaleNormal="80" workbookViewId="0"/>
  </sheetViews>
  <sheetFormatPr defaultRowHeight="15" x14ac:dyDescent="0.2"/>
  <sheetData>
    <row r="1" spans="1:4" ht="26.1" customHeight="1" x14ac:dyDescent="0.2">
      <c r="A1" s="81"/>
      <c r="B1" s="1303" t="s">
        <v>114</v>
      </c>
      <c r="C1" s="1303"/>
      <c r="D1" s="1303"/>
    </row>
    <row r="17" spans="1:4" ht="26.1" customHeight="1" x14ac:dyDescent="0.2">
      <c r="A17" s="81"/>
      <c r="B17" s="1303" t="s">
        <v>114</v>
      </c>
      <c r="C17" s="1303"/>
      <c r="D17" s="1303"/>
    </row>
  </sheetData>
  <mergeCells count="2">
    <mergeCell ref="B17:D17"/>
    <mergeCell ref="B1:D1"/>
  </mergeCells>
  <hyperlinks>
    <hyperlink ref="B1:D1" location="Focus!B8" display="Return to Focus"/>
    <hyperlink ref="B17:D17" location="Focus!B8" display="Return to Focu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heetViews>
  <sheetFormatPr defaultRowHeight="15" x14ac:dyDescent="0.2"/>
  <sheetData>
    <row r="1" spans="1:4" ht="26.1" customHeight="1" x14ac:dyDescent="0.2">
      <c r="A1" s="81"/>
      <c r="B1" s="1303" t="s">
        <v>114</v>
      </c>
      <c r="C1" s="1303"/>
      <c r="D1" s="1303"/>
    </row>
    <row r="21" spans="1:4" x14ac:dyDescent="0.2">
      <c r="B21" s="1303" t="s">
        <v>114</v>
      </c>
      <c r="C21" s="1303"/>
      <c r="D21" s="1303"/>
    </row>
    <row r="23" spans="1:4" ht="26.1" customHeight="1" x14ac:dyDescent="0.2"/>
    <row r="24" spans="1:4" x14ac:dyDescent="0.2">
      <c r="A24" s="81"/>
    </row>
  </sheetData>
  <mergeCells count="2">
    <mergeCell ref="B1:D1"/>
    <mergeCell ref="B21:D21"/>
  </mergeCells>
  <hyperlinks>
    <hyperlink ref="B1:D1" location="Focus!C21" display="Return to Focus"/>
    <hyperlink ref="B21:D21" location="Focus!C21" display="Return to Focu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80" zoomScaleNormal="80" workbookViewId="0"/>
  </sheetViews>
  <sheetFormatPr defaultRowHeight="15" x14ac:dyDescent="0.2"/>
  <sheetData>
    <row r="1" spans="1:4" ht="26.1" customHeight="1" x14ac:dyDescent="0.2">
      <c r="A1" s="81"/>
      <c r="B1" s="1303" t="s">
        <v>114</v>
      </c>
      <c r="C1" s="1303"/>
      <c r="D1" s="1303"/>
    </row>
    <row r="27" spans="1:4" ht="26.1" customHeight="1" x14ac:dyDescent="0.2">
      <c r="A27" s="81"/>
      <c r="B27" s="1303" t="s">
        <v>114</v>
      </c>
      <c r="C27" s="1303"/>
      <c r="D27" s="1303"/>
    </row>
  </sheetData>
  <mergeCells count="2">
    <mergeCell ref="B1:D1"/>
    <mergeCell ref="B27:D27"/>
  </mergeCells>
  <hyperlinks>
    <hyperlink ref="B1:D1" location="Focus!B10" display="Return to Focus"/>
    <hyperlink ref="B27:D27" location="Focus!B10" display="Return to Focu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zoomScale="80" zoomScaleNormal="80" workbookViewId="0"/>
  </sheetViews>
  <sheetFormatPr defaultRowHeight="15" x14ac:dyDescent="0.2"/>
  <sheetData>
    <row r="1" spans="1:4" ht="26.1" customHeight="1" x14ac:dyDescent="0.2">
      <c r="A1" s="81"/>
      <c r="B1" s="1303" t="s">
        <v>178</v>
      </c>
      <c r="C1" s="1303"/>
      <c r="D1" s="1303"/>
    </row>
    <row r="38" spans="1:4" ht="26.1" customHeight="1" x14ac:dyDescent="0.2">
      <c r="A38" s="81"/>
      <c r="B38" s="1303" t="s">
        <v>178</v>
      </c>
      <c r="C38" s="1303"/>
      <c r="D38" s="1303"/>
    </row>
  </sheetData>
  <mergeCells count="2">
    <mergeCell ref="B1:D1"/>
    <mergeCell ref="B38:D38"/>
  </mergeCells>
  <hyperlinks>
    <hyperlink ref="B1:D1" location="'G &amp; S'!A1" display="Return to G &amp; S"/>
    <hyperlink ref="B38:D38" location="'G &amp; S'!A1" display="Return to RS G &amp; 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zoomScale="80" zoomScaleNormal="80" workbookViewId="0"/>
  </sheetViews>
  <sheetFormatPr defaultRowHeight="15" x14ac:dyDescent="0.2"/>
  <sheetData>
    <row r="1" spans="1:4" ht="26.1" customHeight="1" x14ac:dyDescent="0.2">
      <c r="A1" s="81"/>
      <c r="B1" s="1303" t="s">
        <v>251</v>
      </c>
      <c r="C1" s="1303"/>
      <c r="D1" s="1303"/>
    </row>
    <row r="48" ht="26.1" customHeight="1" x14ac:dyDescent="0.2"/>
    <row r="51" spans="1:4" ht="26.25" customHeight="1" x14ac:dyDescent="0.2">
      <c r="A51" s="81"/>
      <c r="B51" s="1303" t="s">
        <v>251</v>
      </c>
      <c r="C51" s="1303"/>
      <c r="D51" s="1303"/>
    </row>
  </sheetData>
  <mergeCells count="2">
    <mergeCell ref="B1:D1"/>
    <mergeCell ref="B51:D51"/>
  </mergeCells>
  <hyperlinks>
    <hyperlink ref="B1:D1" location="'G &amp; S Initial'!A1" display="Return to G &amp; S Flow"/>
    <hyperlink ref="B51:D51" location="'G &amp; S Initial'!A1" display="Return to G &amp; S Flow"/>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C40"/>
  <sheetViews>
    <sheetView zoomScale="80" zoomScaleNormal="80" workbookViewId="0"/>
  </sheetViews>
  <sheetFormatPr defaultRowHeight="14.25" x14ac:dyDescent="0.2"/>
  <cols>
    <col min="1" max="1" width="4.6640625" style="3" customWidth="1"/>
    <col min="2" max="2" width="36.6640625" style="3" customWidth="1"/>
    <col min="3" max="3" width="72.5546875" style="3" customWidth="1"/>
    <col min="4" max="16384" width="8.88671875" style="3"/>
  </cols>
  <sheetData>
    <row r="2" spans="2:3" ht="15.75" x14ac:dyDescent="0.2">
      <c r="B2" s="4" t="s">
        <v>176</v>
      </c>
    </row>
    <row r="3" spans="2:3" ht="15.75" x14ac:dyDescent="0.2">
      <c r="B3" s="4"/>
    </row>
    <row r="4" spans="2:3" ht="15" x14ac:dyDescent="0.2">
      <c r="B4" s="142" t="s">
        <v>122</v>
      </c>
    </row>
    <row r="5" spans="2:3" ht="15" x14ac:dyDescent="0.2">
      <c r="B5" s="142"/>
    </row>
    <row r="6" spans="2:3" ht="15" x14ac:dyDescent="0.2">
      <c r="B6" s="171" t="s">
        <v>143</v>
      </c>
    </row>
    <row r="7" spans="2:3" ht="15.75" x14ac:dyDescent="0.2">
      <c r="B7" s="4"/>
    </row>
    <row r="8" spans="2:3" ht="15" x14ac:dyDescent="0.2">
      <c r="B8" s="1270" t="s">
        <v>174</v>
      </c>
      <c r="C8" s="1271"/>
    </row>
    <row r="9" spans="2:3" ht="15" x14ac:dyDescent="0.2">
      <c r="B9" s="113"/>
    </row>
    <row r="10" spans="2:3" ht="15" x14ac:dyDescent="0.2">
      <c r="B10" s="1270" t="s">
        <v>180</v>
      </c>
      <c r="C10" s="1271"/>
    </row>
    <row r="11" spans="2:3" ht="15.75" x14ac:dyDescent="0.2">
      <c r="B11" s="4"/>
    </row>
    <row r="12" spans="2:3" ht="15" x14ac:dyDescent="0.2">
      <c r="B12" s="5" t="s">
        <v>139</v>
      </c>
      <c r="C12" s="667">
        <v>43559</v>
      </c>
    </row>
    <row r="14" spans="2:3" ht="15" x14ac:dyDescent="0.2">
      <c r="B14" s="5" t="s">
        <v>79</v>
      </c>
      <c r="C14" s="1"/>
    </row>
    <row r="16" spans="2:3" ht="15" x14ac:dyDescent="0.2">
      <c r="B16" s="5" t="s">
        <v>0</v>
      </c>
      <c r="C16" s="2" t="s">
        <v>432</v>
      </c>
    </row>
    <row r="19" spans="2:3" ht="30" x14ac:dyDescent="0.2">
      <c r="B19" s="5" t="s">
        <v>175</v>
      </c>
      <c r="C19" s="1" t="s">
        <v>489</v>
      </c>
    </row>
    <row r="20" spans="2:3" ht="15" x14ac:dyDescent="0.2">
      <c r="B20" s="5"/>
    </row>
    <row r="21" spans="2:3" ht="45" x14ac:dyDescent="0.2">
      <c r="B21" s="5" t="s">
        <v>179</v>
      </c>
      <c r="C21" s="1" t="s">
        <v>488</v>
      </c>
    </row>
    <row r="22" spans="2:3" ht="15" x14ac:dyDescent="0.2">
      <c r="B22" s="5"/>
    </row>
    <row r="23" spans="2:3" ht="15" customHeight="1" x14ac:dyDescent="0.2">
      <c r="B23" s="1270" t="s">
        <v>181</v>
      </c>
      <c r="C23" s="1271"/>
    </row>
    <row r="24" spans="2:3" ht="15" customHeight="1" x14ac:dyDescent="0.2">
      <c r="B24" s="317"/>
    </row>
    <row r="25" spans="2:3" ht="45" x14ac:dyDescent="0.2">
      <c r="B25" s="5" t="s">
        <v>317</v>
      </c>
      <c r="C25" s="753" t="s">
        <v>1007</v>
      </c>
    </row>
    <row r="26" spans="2:3" ht="15" customHeight="1" x14ac:dyDescent="0.2">
      <c r="B26" s="317"/>
    </row>
    <row r="27" spans="2:3" ht="15" customHeight="1" x14ac:dyDescent="0.2">
      <c r="B27" s="629" t="s">
        <v>318</v>
      </c>
    </row>
    <row r="28" spans="2:3" ht="15" customHeight="1" x14ac:dyDescent="0.2">
      <c r="B28" s="629" t="s">
        <v>319</v>
      </c>
    </row>
    <row r="29" spans="2:3" ht="15" customHeight="1" x14ac:dyDescent="0.2">
      <c r="B29" s="629" t="s">
        <v>322</v>
      </c>
    </row>
    <row r="30" spans="2:3" ht="15" x14ac:dyDescent="0.2">
      <c r="B30" s="1272" t="s">
        <v>321</v>
      </c>
      <c r="C30" s="1273"/>
    </row>
    <row r="31" spans="2:3" ht="15" x14ac:dyDescent="0.2">
      <c r="B31" s="629" t="s">
        <v>320</v>
      </c>
    </row>
    <row r="33" spans="2:3" ht="72.75" x14ac:dyDescent="0.2">
      <c r="B33" s="5" t="s">
        <v>895</v>
      </c>
      <c r="C33" s="228" t="s">
        <v>195</v>
      </c>
    </row>
    <row r="34" spans="2:3" ht="15" x14ac:dyDescent="0.2">
      <c r="B34" s="5"/>
    </row>
    <row r="35" spans="2:3" ht="45" x14ac:dyDescent="0.2">
      <c r="B35" s="5" t="s">
        <v>885</v>
      </c>
      <c r="C35" s="215" t="s">
        <v>340</v>
      </c>
    </row>
    <row r="36" spans="2:3" ht="15" x14ac:dyDescent="0.2">
      <c r="B36" s="5"/>
    </row>
    <row r="37" spans="2:3" x14ac:dyDescent="0.2">
      <c r="B37" s="214" t="s">
        <v>194</v>
      </c>
    </row>
    <row r="38" spans="2:3" x14ac:dyDescent="0.2">
      <c r="B38" s="214" t="s">
        <v>896</v>
      </c>
    </row>
    <row r="39" spans="2:3" x14ac:dyDescent="0.2">
      <c r="B39" s="214"/>
    </row>
    <row r="40" spans="2:3" ht="15" x14ac:dyDescent="0.2">
      <c r="B40" s="1013" t="s">
        <v>123</v>
      </c>
    </row>
  </sheetData>
  <customSheetViews>
    <customSheetView guid="{F0620CD8-87A9-448D-9A15-FA44C9D2FC91}" scale="80">
      <pageMargins left="0.7" right="0.7" top="0.75" bottom="0.75" header="0.3" footer="0.3"/>
      <pageSetup paperSize="9" orientation="portrait" r:id="rId1"/>
    </customSheetView>
  </customSheetViews>
  <mergeCells count="4">
    <mergeCell ref="B8:C8"/>
    <mergeCell ref="B10:C10"/>
    <mergeCell ref="B30:C30"/>
    <mergeCell ref="B23:C23"/>
  </mergeCells>
  <hyperlinks>
    <hyperlink ref="B8:C8" location="'Tip Prin'!A1" display="Key principles to employ in developing the account - select here."/>
    <hyperlink ref="B10:C10" location="'Tip Entering'!A1" display="How to enter information in the workbook - select here."/>
    <hyperlink ref="B23:C23" location="'Tip Tenant'!A1" display="Advice on whether to include the operations of tenants - select here"/>
    <hyperlink ref="B40" location="'G &amp; S'!A1" display="Go to next sheet"/>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heetViews>
  <sheetFormatPr defaultRowHeight="15" x14ac:dyDescent="0.2"/>
  <sheetData>
    <row r="1" spans="1:4" ht="26.1" customHeight="1" x14ac:dyDescent="0.2">
      <c r="A1" s="81"/>
      <c r="B1" s="1303" t="s">
        <v>188</v>
      </c>
      <c r="C1" s="1303"/>
      <c r="D1" s="1303"/>
    </row>
    <row r="19" spans="1:4" ht="26.1" customHeight="1" x14ac:dyDescent="0.2">
      <c r="A19" s="81"/>
      <c r="B19" s="1303" t="s">
        <v>188</v>
      </c>
      <c r="C19" s="1303"/>
      <c r="D19" s="1303"/>
    </row>
  </sheetData>
  <mergeCells count="2">
    <mergeCell ref="B1:D1"/>
    <mergeCell ref="B19:D19"/>
  </mergeCells>
  <hyperlinks>
    <hyperlink ref="B1:D1" location="Indicators!B18" display="Return to Indicators"/>
    <hyperlink ref="B19:D19" location="Indicators!B18" display="Return to Indicator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zoomScale="80" zoomScaleNormal="80" workbookViewId="0"/>
  </sheetViews>
  <sheetFormatPr defaultRowHeight="15" x14ac:dyDescent="0.2"/>
  <sheetData>
    <row r="1" spans="1:4" ht="26.1" customHeight="1" x14ac:dyDescent="0.2">
      <c r="A1" s="81"/>
      <c r="B1" s="1303" t="s">
        <v>188</v>
      </c>
      <c r="C1" s="1303"/>
      <c r="D1" s="1303"/>
    </row>
    <row r="44" spans="1:4" ht="26.1" customHeight="1" x14ac:dyDescent="0.2">
      <c r="A44" s="81"/>
      <c r="B44" s="1303" t="s">
        <v>188</v>
      </c>
      <c r="C44" s="1303"/>
      <c r="D44" s="1303"/>
    </row>
  </sheetData>
  <mergeCells count="2">
    <mergeCell ref="B1:D1"/>
    <mergeCell ref="B44:D44"/>
  </mergeCells>
  <hyperlinks>
    <hyperlink ref="B1:D1" location="Indicators!B32" display="Return to Indicators"/>
    <hyperlink ref="B44:D44" location="Indicators!B32" display="Return to Indicator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80" zoomScaleNormal="80" workbookViewId="0"/>
  </sheetViews>
  <sheetFormatPr defaultRowHeight="15" x14ac:dyDescent="0.2"/>
  <sheetData>
    <row r="1" spans="1:4" ht="26.1" customHeight="1" x14ac:dyDescent="0.2">
      <c r="A1" s="81"/>
      <c r="B1" s="1303" t="s">
        <v>188</v>
      </c>
      <c r="C1" s="1303"/>
      <c r="D1" s="1303"/>
    </row>
    <row r="2" spans="1:4" ht="17.25" customHeight="1" x14ac:dyDescent="0.2">
      <c r="A2" s="81"/>
      <c r="B2" s="1259"/>
      <c r="C2" s="1259"/>
      <c r="D2" s="1259"/>
    </row>
    <row r="3" spans="1:4" ht="15.75" customHeight="1" x14ac:dyDescent="0.2">
      <c r="A3" s="81"/>
      <c r="B3" s="1259"/>
      <c r="C3" s="1259"/>
      <c r="D3" s="1259"/>
    </row>
    <row r="11" spans="1:4" ht="26.1" customHeight="1" x14ac:dyDescent="0.2">
      <c r="A11" s="81"/>
      <c r="B11" s="1303" t="s">
        <v>188</v>
      </c>
      <c r="C11" s="1303"/>
      <c r="D11" s="1303"/>
    </row>
  </sheetData>
  <mergeCells count="2">
    <mergeCell ref="B1:D1"/>
    <mergeCell ref="B11:D11"/>
  </mergeCells>
  <hyperlinks>
    <hyperlink ref="B1:D1" location="Indicators!B52" display="Return to Indicators"/>
    <hyperlink ref="B11:D11" location="Indicators!B52" display="Return to Indicators"/>
  </hyperlink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zoomScale="80" zoomScaleNormal="80" workbookViewId="0"/>
  </sheetViews>
  <sheetFormatPr defaultRowHeight="15" x14ac:dyDescent="0.2"/>
  <sheetData>
    <row r="1" spans="1:6" s="102" customFormat="1" ht="26.1" customHeight="1" x14ac:dyDescent="0.2">
      <c r="A1" s="104"/>
      <c r="B1" s="1303" t="s">
        <v>253</v>
      </c>
      <c r="C1" s="1303"/>
      <c r="D1" s="1303"/>
      <c r="E1" s="1304"/>
      <c r="F1" s="1304"/>
    </row>
    <row r="44" spans="1:6" ht="25.5" customHeight="1" x14ac:dyDescent="0.2">
      <c r="A44" s="104"/>
      <c r="B44" s="1303" t="s">
        <v>253</v>
      </c>
      <c r="C44" s="1303"/>
      <c r="D44" s="1303"/>
      <c r="E44" s="1304"/>
      <c r="F44" s="1304"/>
    </row>
  </sheetData>
  <mergeCells count="2">
    <mergeCell ref="B1:F1"/>
    <mergeCell ref="B44:F44"/>
  </mergeCells>
  <hyperlinks>
    <hyperlink ref="B1:D1" location="'RS V Info'!B99" display="Return to RS V Info"/>
    <hyperlink ref="B44:D44" location="'RS V Info'!B99" display="Return to RS V Info"/>
    <hyperlink ref="B1:F1" location="'Cost Initial'!A1" display="Return to Cost Initial"/>
    <hyperlink ref="B44:F44" location="'Cost Initial'!A1" display="Return to RS Non-Attrib"/>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80" zoomScaleNormal="80" workbookViewId="0"/>
  </sheetViews>
  <sheetFormatPr defaultRowHeight="15" x14ac:dyDescent="0.2"/>
  <cols>
    <col min="1" max="1" width="8.88671875" customWidth="1"/>
  </cols>
  <sheetData>
    <row r="1" spans="1:4" ht="24" customHeight="1" x14ac:dyDescent="0.2">
      <c r="A1" s="81"/>
      <c r="B1" s="1303" t="s">
        <v>543</v>
      </c>
      <c r="C1" s="1303"/>
      <c r="D1" s="1303"/>
    </row>
    <row r="27" spans="1:4" x14ac:dyDescent="0.2">
      <c r="A27" s="81"/>
      <c r="B27" s="1303" t="s">
        <v>452</v>
      </c>
      <c r="C27" s="1303"/>
      <c r="D27" s="1303"/>
    </row>
    <row r="46" spans="2:4" x14ac:dyDescent="0.2">
      <c r="B46" s="1303" t="s">
        <v>543</v>
      </c>
      <c r="C46" s="1303"/>
      <c r="D46" s="1303"/>
    </row>
  </sheetData>
  <mergeCells count="3">
    <mergeCell ref="B27:D27"/>
    <mergeCell ref="B1:D1"/>
    <mergeCell ref="B46:D46"/>
  </mergeCells>
  <hyperlinks>
    <hyperlink ref="B27:D27" location="Capitals!A1" display="Return to Capitals"/>
    <hyperlink ref="B1:D1" location="'Health Benefits'!B101" display="Return to Health Benefits"/>
    <hyperlink ref="B46:D46" location="'Health Benefits'!B101" display="Return to Health Benefits"/>
  </hyperlinks>
  <pageMargins left="0.7" right="0.7" top="0.75" bottom="0.75" header="0.3" footer="0.3"/>
  <pageSetup paperSize="9"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80" zoomScaleNormal="80" workbookViewId="0"/>
  </sheetViews>
  <sheetFormatPr defaultRowHeight="15" x14ac:dyDescent="0.2"/>
  <cols>
    <col min="1" max="1" width="8.88671875" customWidth="1"/>
  </cols>
  <sheetData>
    <row r="1" spans="1:4" ht="23.25" customHeight="1" x14ac:dyDescent="0.2">
      <c r="A1" s="81"/>
      <c r="B1" s="1303" t="s">
        <v>452</v>
      </c>
      <c r="C1" s="1303"/>
      <c r="D1" s="1303"/>
    </row>
    <row r="27" spans="1:4" x14ac:dyDescent="0.2">
      <c r="A27" s="81"/>
      <c r="B27" s="1303" t="s">
        <v>452</v>
      </c>
      <c r="C27" s="1303"/>
      <c r="D27" s="1303"/>
    </row>
  </sheetData>
  <mergeCells count="2">
    <mergeCell ref="B1:D1"/>
    <mergeCell ref="B27:D27"/>
  </mergeCells>
  <hyperlinks>
    <hyperlink ref="B1:D1" location="Capitals!A1" display="Return to Capitals"/>
    <hyperlink ref="B27:D27" location="Capitals!A1" display="Return to Capital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zoomScale="80" zoomScaleNormal="80" workbookViewId="0"/>
  </sheetViews>
  <sheetFormatPr defaultRowHeight="14.25" x14ac:dyDescent="0.2"/>
  <cols>
    <col min="1" max="1" width="8.88671875" style="6"/>
    <col min="2" max="2" width="17.77734375" style="6" customWidth="1"/>
    <col min="3" max="4" width="15.88671875" style="6" customWidth="1"/>
    <col min="5" max="16384" width="8.88671875" style="6"/>
  </cols>
  <sheetData>
    <row r="2" spans="2:4" ht="15" x14ac:dyDescent="0.25">
      <c r="B2" s="8" t="s">
        <v>152</v>
      </c>
    </row>
    <row r="3" spans="2:4" x14ac:dyDescent="0.2">
      <c r="C3" s="6" t="s">
        <v>149</v>
      </c>
      <c r="D3" s="6" t="s">
        <v>150</v>
      </c>
    </row>
    <row r="4" spans="2:4" x14ac:dyDescent="0.2">
      <c r="B4" s="6" t="s">
        <v>5</v>
      </c>
      <c r="C4" s="6">
        <f>'X Net Asset Value'!E25</f>
        <v>9.0996201428571538E-2</v>
      </c>
      <c r="D4" s="6">
        <f>'X Net Asset Value'!F25</f>
        <v>11.944392204059998</v>
      </c>
    </row>
    <row r="5" spans="2:4" x14ac:dyDescent="0.2">
      <c r="B5" s="6" t="s">
        <v>6</v>
      </c>
      <c r="C5" s="6">
        <f>'X Net Asset Value'!E26</f>
        <v>-7.443070482219448</v>
      </c>
      <c r="D5" s="6">
        <f>'X Net Asset Value'!F26</f>
        <v>-3.1634035714285744</v>
      </c>
    </row>
    <row r="6" spans="2:4" x14ac:dyDescent="0.2">
      <c r="B6" s="6" t="s">
        <v>151</v>
      </c>
      <c r="C6" s="6">
        <f>'X Net Asset Value'!E27</f>
        <v>-7.3520742807908768</v>
      </c>
      <c r="D6" s="6">
        <f>'X Net Asset Value'!F27</f>
        <v>8.7809886326314235</v>
      </c>
    </row>
    <row r="9" spans="2:4" ht="15" x14ac:dyDescent="0.25">
      <c r="B9" s="8" t="s">
        <v>848</v>
      </c>
    </row>
    <row r="10" spans="2:4" ht="15" x14ac:dyDescent="0.25">
      <c r="B10" s="8" t="s">
        <v>910</v>
      </c>
    </row>
    <row r="11" spans="2:4" x14ac:dyDescent="0.2">
      <c r="C11" s="6" t="s">
        <v>688</v>
      </c>
      <c r="D11" s="6" t="s">
        <v>851</v>
      </c>
    </row>
    <row r="12" spans="2:4" x14ac:dyDescent="0.2">
      <c r="C12" s="1019">
        <f>SUM(Values!E88:E95)-Values!E91+Values!E104</f>
        <v>2492.13</v>
      </c>
      <c r="D12" s="1019">
        <f>'X G &amp; S Value'!E81</f>
        <v>2492.13</v>
      </c>
    </row>
    <row r="13" spans="2:4" x14ac:dyDescent="0.2">
      <c r="C13" s="1019"/>
      <c r="D13" s="1019"/>
    </row>
    <row r="14" spans="2:4" ht="15" x14ac:dyDescent="0.25">
      <c r="B14" s="68" t="s">
        <v>911</v>
      </c>
    </row>
    <row r="15" spans="2:4" ht="15" x14ac:dyDescent="0.25">
      <c r="B15" s="68"/>
      <c r="C15" s="6" t="s">
        <v>688</v>
      </c>
      <c r="D15" s="6" t="s">
        <v>851</v>
      </c>
    </row>
    <row r="16" spans="2:4" ht="15" x14ac:dyDescent="0.25">
      <c r="B16" s="68"/>
      <c r="C16" s="1021">
        <f>'X G &amp; S Value'!E84</f>
        <v>351906.50049302645</v>
      </c>
      <c r="D16" s="1021">
        <f>'X G &amp; S Value'!C55-SUM(Values!E88:E95)-Values!E104</f>
        <v>378273.50049302645</v>
      </c>
    </row>
    <row r="17" spans="2:4" ht="15" x14ac:dyDescent="0.25">
      <c r="B17" s="68"/>
    </row>
    <row r="18" spans="2:4" ht="15" x14ac:dyDescent="0.25">
      <c r="B18" s="8" t="s">
        <v>849</v>
      </c>
    </row>
    <row r="19" spans="2:4" x14ac:dyDescent="0.2">
      <c r="C19" s="6" t="s">
        <v>688</v>
      </c>
      <c r="D19" s="6" t="s">
        <v>851</v>
      </c>
    </row>
    <row r="20" spans="2:4" x14ac:dyDescent="0.2">
      <c r="B20" s="6" t="s">
        <v>850</v>
      </c>
      <c r="C20" s="6">
        <f>'X Net Asset Value'!G25</f>
        <v>12.03538840548857</v>
      </c>
      <c r="D20" s="6">
        <f>'X G &amp; S Value'!X55</f>
        <v>12035388.405488571</v>
      </c>
    </row>
    <row r="21" spans="2:4" x14ac:dyDescent="0.2">
      <c r="B21" s="6" t="s">
        <v>6</v>
      </c>
      <c r="C21" s="6">
        <f>'X Net Asset Value'!G26</f>
        <v>-10.606474053648022</v>
      </c>
      <c r="D21" s="6">
        <f>'Cost Projections'!AC57</f>
        <v>-10606474.053648023</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P92"/>
  <sheetViews>
    <sheetView zoomScale="80" zoomScaleNormal="80" workbookViewId="0"/>
  </sheetViews>
  <sheetFormatPr defaultRowHeight="14.25" x14ac:dyDescent="0.2"/>
  <cols>
    <col min="1" max="1" width="4.77734375" style="119" customWidth="1"/>
    <col min="2" max="2" width="43.33203125" style="119" customWidth="1"/>
    <col min="3" max="3" width="18.109375" style="119" customWidth="1"/>
    <col min="4" max="4" width="99.109375" style="119" customWidth="1"/>
    <col min="5" max="16384" width="8.88671875" style="119"/>
  </cols>
  <sheetData>
    <row r="1" spans="2:4" s="116" customFormat="1" x14ac:dyDescent="0.2">
      <c r="B1" s="115"/>
      <c r="C1" s="115"/>
      <c r="D1" s="115"/>
    </row>
    <row r="2" spans="2:4" s="116" customFormat="1" ht="15.75" x14ac:dyDescent="0.25">
      <c r="B2" s="18" t="s">
        <v>120</v>
      </c>
      <c r="C2" s="17"/>
    </row>
    <row r="3" spans="2:4" s="116" customFormat="1" ht="15.75" x14ac:dyDescent="0.25">
      <c r="B3" s="18"/>
      <c r="C3" s="17"/>
    </row>
    <row r="4" spans="2:4" s="116" customFormat="1" x14ac:dyDescent="0.2">
      <c r="B4" s="114" t="s">
        <v>4</v>
      </c>
      <c r="C4" s="117" t="str">
        <f>Focus!C16</f>
        <v>Shapwick Heath NNR</v>
      </c>
      <c r="D4" s="114"/>
    </row>
    <row r="5" spans="2:4" s="116" customFormat="1" ht="15.75" x14ac:dyDescent="0.25">
      <c r="B5" s="18"/>
      <c r="C5" s="17"/>
      <c r="D5" s="17"/>
    </row>
    <row r="6" spans="2:4" s="116" customFormat="1" ht="15" x14ac:dyDescent="0.25">
      <c r="B6" s="83" t="s">
        <v>85</v>
      </c>
      <c r="C6" s="17"/>
      <c r="D6" s="17"/>
    </row>
    <row r="7" spans="2:4" s="116" customFormat="1" x14ac:dyDescent="0.2">
      <c r="B7" s="17" t="s">
        <v>182</v>
      </c>
      <c r="C7" s="17"/>
      <c r="D7" s="17"/>
    </row>
    <row r="8" spans="2:4" s="116" customFormat="1" x14ac:dyDescent="0.2">
      <c r="B8" s="17" t="s">
        <v>1078</v>
      </c>
      <c r="C8" s="17"/>
      <c r="D8" s="17"/>
    </row>
    <row r="9" spans="2:4" s="116" customFormat="1" x14ac:dyDescent="0.2">
      <c r="B9" s="17"/>
      <c r="C9" s="17"/>
      <c r="D9" s="17"/>
    </row>
    <row r="10" spans="2:4" s="116" customFormat="1" ht="15" x14ac:dyDescent="0.2">
      <c r="B10" s="1274" t="s">
        <v>177</v>
      </c>
      <c r="C10" s="1275"/>
      <c r="D10" s="17"/>
    </row>
    <row r="11" spans="2:4" s="116" customFormat="1" ht="15.75" x14ac:dyDescent="0.25">
      <c r="B11" s="18"/>
      <c r="C11" s="17"/>
      <c r="D11" s="17"/>
    </row>
    <row r="12" spans="2:4" s="116" customFormat="1" ht="15" x14ac:dyDescent="0.25">
      <c r="B12" s="19" t="s">
        <v>2</v>
      </c>
      <c r="C12" s="17"/>
      <c r="D12" s="17"/>
    </row>
    <row r="13" spans="2:4" s="116" customFormat="1" x14ac:dyDescent="0.2">
      <c r="B13" s="20" t="s">
        <v>892</v>
      </c>
      <c r="C13" s="17"/>
      <c r="D13" s="17"/>
    </row>
    <row r="14" spans="2:4" s="116" customFormat="1" x14ac:dyDescent="0.2">
      <c r="B14" s="170" t="s">
        <v>141</v>
      </c>
      <c r="D14" s="22" t="s">
        <v>140</v>
      </c>
    </row>
    <row r="15" spans="2:4" s="116" customFormat="1" x14ac:dyDescent="0.2">
      <c r="B15" s="170" t="s">
        <v>142</v>
      </c>
      <c r="D15" s="23" t="s">
        <v>18</v>
      </c>
    </row>
    <row r="16" spans="2:4" s="116" customFormat="1" x14ac:dyDescent="0.2">
      <c r="B16" s="21" t="s">
        <v>183</v>
      </c>
      <c r="D16" s="23" t="s">
        <v>59</v>
      </c>
    </row>
    <row r="17" spans="1:4" s="116" customFormat="1" ht="14.25" customHeight="1" x14ac:dyDescent="0.2">
      <c r="B17" s="21"/>
      <c r="C17" s="23"/>
      <c r="D17" s="17"/>
    </row>
    <row r="18" spans="1:4" s="116" customFormat="1" ht="90" customHeight="1" x14ac:dyDescent="0.25">
      <c r="B18" s="158" t="s">
        <v>137</v>
      </c>
      <c r="C18" s="1012" t="s">
        <v>893</v>
      </c>
      <c r="D18" s="161"/>
    </row>
    <row r="19" spans="1:4" s="116" customFormat="1" ht="15.75" x14ac:dyDescent="0.25">
      <c r="B19" s="159" t="s">
        <v>138</v>
      </c>
      <c r="C19" s="160" t="s">
        <v>124</v>
      </c>
      <c r="D19" s="162" t="s">
        <v>84</v>
      </c>
    </row>
    <row r="20" spans="1:4" s="121" customFormat="1" ht="15" x14ac:dyDescent="0.25">
      <c r="A20" s="118"/>
      <c r="B20" s="153" t="s">
        <v>16</v>
      </c>
      <c r="C20" s="154"/>
      <c r="D20" s="120"/>
    </row>
    <row r="21" spans="1:4" s="121" customFormat="1" ht="30" x14ac:dyDescent="0.2">
      <c r="A21" s="118"/>
      <c r="B21" s="139" t="s">
        <v>125</v>
      </c>
      <c r="C21" s="119"/>
      <c r="D21" s="152"/>
    </row>
    <row r="22" spans="1:4" s="121" customFormat="1" x14ac:dyDescent="0.2">
      <c r="A22" s="118"/>
      <c r="B22" s="146" t="s">
        <v>20</v>
      </c>
      <c r="C22" s="631" t="s">
        <v>59</v>
      </c>
      <c r="D22" s="632"/>
    </row>
    <row r="23" spans="1:4" s="121" customFormat="1" x14ac:dyDescent="0.2">
      <c r="A23" s="118"/>
      <c r="B23" s="147" t="s">
        <v>21</v>
      </c>
      <c r="C23" s="633" t="s">
        <v>59</v>
      </c>
      <c r="D23" s="634"/>
    </row>
    <row r="24" spans="1:4" s="121" customFormat="1" ht="28.5" x14ac:dyDescent="0.2">
      <c r="A24" s="118"/>
      <c r="B24" s="147" t="s">
        <v>22</v>
      </c>
      <c r="C24" s="633" t="s">
        <v>18</v>
      </c>
      <c r="D24" s="634" t="s">
        <v>331</v>
      </c>
    </row>
    <row r="25" spans="1:4" s="121" customFormat="1" ht="28.5" x14ac:dyDescent="0.2">
      <c r="A25" s="118"/>
      <c r="B25" s="147" t="s">
        <v>23</v>
      </c>
      <c r="C25" s="659" t="s">
        <v>18</v>
      </c>
      <c r="D25" s="634" t="s">
        <v>606</v>
      </c>
    </row>
    <row r="26" spans="1:4" s="121" customFormat="1" x14ac:dyDescent="0.2">
      <c r="A26" s="118"/>
      <c r="B26" s="147" t="s">
        <v>24</v>
      </c>
      <c r="C26" s="633" t="s">
        <v>59</v>
      </c>
      <c r="D26" s="660" t="s">
        <v>332</v>
      </c>
    </row>
    <row r="27" spans="1:4" s="121" customFormat="1" x14ac:dyDescent="0.2">
      <c r="A27" s="118"/>
      <c r="B27" s="148" t="s">
        <v>25</v>
      </c>
      <c r="C27" s="635" t="s">
        <v>18</v>
      </c>
      <c r="D27" s="661" t="s">
        <v>605</v>
      </c>
    </row>
    <row r="28" spans="1:4" s="121" customFormat="1" ht="15" x14ac:dyDescent="0.2">
      <c r="A28" s="118"/>
      <c r="B28" s="140" t="s">
        <v>126</v>
      </c>
      <c r="C28" s="637"/>
      <c r="D28" s="638"/>
    </row>
    <row r="29" spans="1:4" s="121" customFormat="1" x14ac:dyDescent="0.2">
      <c r="A29" s="118"/>
      <c r="B29" s="146" t="s">
        <v>26</v>
      </c>
      <c r="C29" s="631" t="s">
        <v>59</v>
      </c>
      <c r="D29" s="658" t="s">
        <v>333</v>
      </c>
    </row>
    <row r="30" spans="1:4" s="121" customFormat="1" x14ac:dyDescent="0.2">
      <c r="A30" s="118"/>
      <c r="B30" s="149" t="s">
        <v>27</v>
      </c>
      <c r="C30" s="639" t="s">
        <v>59</v>
      </c>
      <c r="D30" s="640"/>
    </row>
    <row r="31" spans="1:4" s="121" customFormat="1" ht="15" x14ac:dyDescent="0.25">
      <c r="A31" s="118"/>
      <c r="B31" s="140" t="s">
        <v>127</v>
      </c>
      <c r="C31" s="668"/>
      <c r="D31" s="641"/>
    </row>
    <row r="32" spans="1:4" s="121" customFormat="1" x14ac:dyDescent="0.2">
      <c r="A32" s="118"/>
      <c r="B32" s="146" t="s">
        <v>40</v>
      </c>
      <c r="C32" s="631" t="s">
        <v>59</v>
      </c>
      <c r="D32" s="632"/>
    </row>
    <row r="33" spans="1:4" s="121" customFormat="1" ht="28.5" x14ac:dyDescent="0.2">
      <c r="A33" s="118"/>
      <c r="B33" s="147" t="s">
        <v>41</v>
      </c>
      <c r="C33" s="633" t="s">
        <v>140</v>
      </c>
      <c r="D33" s="634" t="s">
        <v>831</v>
      </c>
    </row>
    <row r="34" spans="1:4" s="121" customFormat="1" x14ac:dyDescent="0.2">
      <c r="A34" s="118"/>
      <c r="B34" s="148" t="s">
        <v>43</v>
      </c>
      <c r="C34" s="635" t="s">
        <v>59</v>
      </c>
      <c r="D34" s="636"/>
    </row>
    <row r="35" spans="1:4" s="121" customFormat="1" ht="15" x14ac:dyDescent="0.2">
      <c r="A35" s="118"/>
      <c r="B35" s="140" t="s">
        <v>128</v>
      </c>
      <c r="C35" s="637"/>
      <c r="D35" s="638"/>
    </row>
    <row r="36" spans="1:4" s="121" customFormat="1" x14ac:dyDescent="0.2">
      <c r="A36" s="118"/>
      <c r="B36" s="146" t="s">
        <v>26</v>
      </c>
      <c r="C36" s="631" t="s">
        <v>140</v>
      </c>
      <c r="D36" s="632" t="s">
        <v>325</v>
      </c>
    </row>
    <row r="37" spans="1:4" s="121" customFormat="1" x14ac:dyDescent="0.2">
      <c r="A37" s="118"/>
      <c r="B37" s="149" t="s">
        <v>27</v>
      </c>
      <c r="C37" s="639" t="s">
        <v>140</v>
      </c>
      <c r="D37" s="640"/>
    </row>
    <row r="38" spans="1:4" s="121" customFormat="1" ht="15" x14ac:dyDescent="0.25">
      <c r="A38" s="118"/>
      <c r="B38" s="140" t="s">
        <v>129</v>
      </c>
      <c r="C38" s="668"/>
      <c r="D38" s="638"/>
    </row>
    <row r="39" spans="1:4" s="121" customFormat="1" x14ac:dyDescent="0.2">
      <c r="A39" s="118"/>
      <c r="B39" s="146" t="s">
        <v>28</v>
      </c>
      <c r="C39" s="631" t="s">
        <v>18</v>
      </c>
      <c r="D39" s="632" t="s">
        <v>604</v>
      </c>
    </row>
    <row r="40" spans="1:4" s="121" customFormat="1" x14ac:dyDescent="0.2">
      <c r="A40" s="118"/>
      <c r="B40" s="147" t="s">
        <v>29</v>
      </c>
      <c r="C40" s="633" t="s">
        <v>59</v>
      </c>
      <c r="D40" s="634"/>
    </row>
    <row r="41" spans="1:4" s="121" customFormat="1" x14ac:dyDescent="0.2">
      <c r="A41" s="118"/>
      <c r="B41" s="146" t="s">
        <v>44</v>
      </c>
      <c r="C41" s="642" t="s">
        <v>59</v>
      </c>
      <c r="D41" s="643"/>
    </row>
    <row r="42" spans="1:4" s="121" customFormat="1" ht="15" x14ac:dyDescent="0.2">
      <c r="A42" s="118"/>
      <c r="B42" s="123" t="s">
        <v>51</v>
      </c>
      <c r="C42" s="124"/>
      <c r="D42" s="167"/>
    </row>
    <row r="43" spans="1:4" s="121" customFormat="1" ht="30" x14ac:dyDescent="0.25">
      <c r="A43" s="118"/>
      <c r="B43" s="145" t="s">
        <v>130</v>
      </c>
      <c r="C43" s="119"/>
      <c r="D43" s="164"/>
    </row>
    <row r="44" spans="1:4" s="121" customFormat="1" x14ac:dyDescent="0.2">
      <c r="A44" s="118"/>
      <c r="B44" s="150" t="s">
        <v>45</v>
      </c>
      <c r="C44" s="644" t="s">
        <v>59</v>
      </c>
      <c r="D44" s="645" t="s">
        <v>336</v>
      </c>
    </row>
    <row r="45" spans="1:4" s="121" customFormat="1" ht="28.5" x14ac:dyDescent="0.2">
      <c r="A45" s="118"/>
      <c r="B45" s="151" t="s">
        <v>42</v>
      </c>
      <c r="C45" s="646" t="s">
        <v>140</v>
      </c>
      <c r="D45" s="660" t="s">
        <v>334</v>
      </c>
    </row>
    <row r="46" spans="1:4" s="121" customFormat="1" ht="28.5" x14ac:dyDescent="0.2">
      <c r="A46" s="118"/>
      <c r="B46" s="147" t="s">
        <v>30</v>
      </c>
      <c r="C46" s="646" t="s">
        <v>18</v>
      </c>
      <c r="D46" s="647"/>
    </row>
    <row r="47" spans="1:4" s="121" customFormat="1" ht="28.5" x14ac:dyDescent="0.2">
      <c r="A47" s="118"/>
      <c r="B47" s="147" t="s">
        <v>47</v>
      </c>
      <c r="C47" s="646" t="s">
        <v>18</v>
      </c>
      <c r="D47" s="647"/>
    </row>
    <row r="48" spans="1:4" s="121" customFormat="1" x14ac:dyDescent="0.2">
      <c r="A48" s="118"/>
      <c r="B48" s="148" t="s">
        <v>46</v>
      </c>
      <c r="C48" s="648" t="s">
        <v>18</v>
      </c>
      <c r="D48" s="649" t="s">
        <v>335</v>
      </c>
    </row>
    <row r="49" spans="1:4" s="121" customFormat="1" ht="15" x14ac:dyDescent="0.2">
      <c r="A49" s="118"/>
      <c r="B49" s="140" t="s">
        <v>131</v>
      </c>
      <c r="C49" s="650"/>
      <c r="D49" s="651"/>
    </row>
    <row r="50" spans="1:4" s="121" customFormat="1" ht="28.5" x14ac:dyDescent="0.2">
      <c r="A50" s="118"/>
      <c r="B50" s="146" t="s">
        <v>48</v>
      </c>
      <c r="C50" s="644" t="s">
        <v>18</v>
      </c>
      <c r="D50" s="645" t="s">
        <v>603</v>
      </c>
    </row>
    <row r="51" spans="1:4" s="121" customFormat="1" ht="28.5" x14ac:dyDescent="0.2">
      <c r="A51" s="118"/>
      <c r="B51" s="147" t="s">
        <v>80</v>
      </c>
      <c r="C51" s="646" t="s">
        <v>59</v>
      </c>
      <c r="D51" s="647" t="s">
        <v>336</v>
      </c>
    </row>
    <row r="52" spans="1:4" s="121" customFormat="1" x14ac:dyDescent="0.2">
      <c r="A52" s="118"/>
      <c r="B52" s="147" t="s">
        <v>31</v>
      </c>
      <c r="C52" s="646" t="s">
        <v>59</v>
      </c>
      <c r="D52" s="647" t="s">
        <v>336</v>
      </c>
    </row>
    <row r="53" spans="1:4" s="121" customFormat="1" x14ac:dyDescent="0.2">
      <c r="A53" s="118"/>
      <c r="B53" s="147" t="s">
        <v>32</v>
      </c>
      <c r="C53" s="646" t="s">
        <v>18</v>
      </c>
      <c r="D53" s="647"/>
    </row>
    <row r="54" spans="1:4" s="121" customFormat="1" x14ac:dyDescent="0.2">
      <c r="A54" s="118"/>
      <c r="B54" s="147" t="s">
        <v>49</v>
      </c>
      <c r="C54" s="646" t="s">
        <v>18</v>
      </c>
      <c r="D54" s="647" t="s">
        <v>326</v>
      </c>
    </row>
    <row r="55" spans="1:4" s="121" customFormat="1" x14ac:dyDescent="0.2">
      <c r="A55" s="118"/>
      <c r="B55" s="155" t="s">
        <v>33</v>
      </c>
      <c r="C55" s="652" t="s">
        <v>140</v>
      </c>
      <c r="D55" s="653"/>
    </row>
    <row r="56" spans="1:4" s="121" customFormat="1" ht="30" x14ac:dyDescent="0.25">
      <c r="A56" s="118"/>
      <c r="B56" s="139" t="s">
        <v>132</v>
      </c>
      <c r="C56" s="669"/>
      <c r="D56" s="654"/>
    </row>
    <row r="57" spans="1:4" s="121" customFormat="1" x14ac:dyDescent="0.2">
      <c r="A57" s="118"/>
      <c r="B57" s="146" t="s">
        <v>34</v>
      </c>
      <c r="C57" s="644" t="s">
        <v>140</v>
      </c>
      <c r="D57" s="645"/>
    </row>
    <row r="58" spans="1:4" s="121" customFormat="1" x14ac:dyDescent="0.2">
      <c r="A58" s="118"/>
      <c r="B58" s="147" t="s">
        <v>35</v>
      </c>
      <c r="C58" s="646" t="s">
        <v>140</v>
      </c>
      <c r="D58" s="647"/>
    </row>
    <row r="59" spans="1:4" s="121" customFormat="1" x14ac:dyDescent="0.2">
      <c r="A59" s="118"/>
      <c r="B59" s="147" t="s">
        <v>81</v>
      </c>
      <c r="C59" s="646" t="s">
        <v>59</v>
      </c>
      <c r="D59" s="647" t="s">
        <v>336</v>
      </c>
    </row>
    <row r="60" spans="1:4" s="121" customFormat="1" x14ac:dyDescent="0.2">
      <c r="A60" s="118"/>
      <c r="B60" s="147" t="s">
        <v>82</v>
      </c>
      <c r="C60" s="646" t="s">
        <v>59</v>
      </c>
      <c r="D60" s="647" t="s">
        <v>336</v>
      </c>
    </row>
    <row r="61" spans="1:4" s="121" customFormat="1" x14ac:dyDescent="0.2">
      <c r="A61" s="118"/>
      <c r="B61" s="147" t="s">
        <v>36</v>
      </c>
      <c r="C61" s="657" t="s">
        <v>140</v>
      </c>
      <c r="D61" s="647"/>
    </row>
    <row r="62" spans="1:4" s="121" customFormat="1" x14ac:dyDescent="0.2">
      <c r="A62" s="118"/>
      <c r="B62" s="147" t="s">
        <v>37</v>
      </c>
      <c r="C62" s="657" t="s">
        <v>140</v>
      </c>
      <c r="D62" s="647"/>
    </row>
    <row r="63" spans="1:4" s="121" customFormat="1" x14ac:dyDescent="0.2">
      <c r="A63" s="118"/>
      <c r="B63" s="147" t="s">
        <v>38</v>
      </c>
      <c r="C63" s="657" t="s">
        <v>140</v>
      </c>
      <c r="D63" s="647"/>
    </row>
    <row r="64" spans="1:4" s="121" customFormat="1" x14ac:dyDescent="0.2">
      <c r="A64" s="118"/>
      <c r="B64" s="147" t="s">
        <v>39</v>
      </c>
      <c r="C64" s="646" t="s">
        <v>59</v>
      </c>
      <c r="D64" s="647"/>
    </row>
    <row r="65" spans="1:4" s="121" customFormat="1" ht="28.5" x14ac:dyDescent="0.2">
      <c r="A65" s="118"/>
      <c r="B65" s="147" t="s">
        <v>83</v>
      </c>
      <c r="C65" s="657" t="s">
        <v>140</v>
      </c>
      <c r="D65" s="647"/>
    </row>
    <row r="66" spans="1:4" s="121" customFormat="1" x14ac:dyDescent="0.2">
      <c r="A66" s="118"/>
      <c r="B66" s="146" t="s">
        <v>19</v>
      </c>
      <c r="C66" s="655" t="s">
        <v>18</v>
      </c>
      <c r="D66" s="656"/>
    </row>
    <row r="67" spans="1:4" s="121" customFormat="1" ht="15" x14ac:dyDescent="0.2">
      <c r="A67" s="118"/>
      <c r="B67" s="125" t="s">
        <v>17</v>
      </c>
      <c r="C67" s="126"/>
      <c r="D67" s="168"/>
    </row>
    <row r="68" spans="1:4" s="121" customFormat="1" ht="19.5" customHeight="1" x14ac:dyDescent="0.25">
      <c r="A68" s="118"/>
      <c r="B68" s="145" t="s">
        <v>133</v>
      </c>
      <c r="C68" s="119"/>
      <c r="D68" s="164"/>
    </row>
    <row r="69" spans="1:4" s="121" customFormat="1" ht="28.5" x14ac:dyDescent="0.2">
      <c r="A69" s="118"/>
      <c r="B69" s="150" t="s">
        <v>88</v>
      </c>
      <c r="C69" s="657" t="s">
        <v>140</v>
      </c>
      <c r="D69" s="658"/>
    </row>
    <row r="70" spans="1:4" s="121" customFormat="1" x14ac:dyDescent="0.2">
      <c r="A70" s="118"/>
      <c r="B70" s="148" t="s">
        <v>89</v>
      </c>
      <c r="C70" s="655" t="s">
        <v>18</v>
      </c>
      <c r="D70" s="658" t="s">
        <v>327</v>
      </c>
    </row>
    <row r="71" spans="1:4" s="121" customFormat="1" ht="30" x14ac:dyDescent="0.2">
      <c r="A71" s="118"/>
      <c r="B71" s="140" t="s">
        <v>134</v>
      </c>
      <c r="C71" s="662"/>
      <c r="D71" s="663"/>
    </row>
    <row r="72" spans="1:4" s="121" customFormat="1" x14ac:dyDescent="0.2">
      <c r="A72" s="118"/>
      <c r="B72" s="146" t="s">
        <v>78</v>
      </c>
      <c r="C72" s="655" t="s">
        <v>18</v>
      </c>
      <c r="D72" s="658" t="s">
        <v>327</v>
      </c>
    </row>
    <row r="73" spans="1:4" s="121" customFormat="1" x14ac:dyDescent="0.2">
      <c r="A73" s="118"/>
      <c r="B73" s="147" t="s">
        <v>90</v>
      </c>
      <c r="C73" s="655" t="s">
        <v>18</v>
      </c>
      <c r="D73" s="658" t="s">
        <v>327</v>
      </c>
    </row>
    <row r="74" spans="1:4" s="121" customFormat="1" x14ac:dyDescent="0.2">
      <c r="A74" s="118"/>
      <c r="B74" s="147" t="s">
        <v>91</v>
      </c>
      <c r="C74" s="655" t="s">
        <v>18</v>
      </c>
      <c r="D74" s="660" t="s">
        <v>327</v>
      </c>
    </row>
    <row r="75" spans="1:4" s="121" customFormat="1" x14ac:dyDescent="0.2">
      <c r="A75" s="118"/>
      <c r="B75" s="147" t="s">
        <v>145</v>
      </c>
      <c r="C75" s="655" t="s">
        <v>18</v>
      </c>
      <c r="D75" s="660" t="s">
        <v>327</v>
      </c>
    </row>
    <row r="76" spans="1:4" s="121" customFormat="1" x14ac:dyDescent="0.2">
      <c r="A76" s="118"/>
      <c r="B76" s="149" t="s">
        <v>92</v>
      </c>
      <c r="C76" s="655" t="s">
        <v>140</v>
      </c>
      <c r="D76" s="664" t="s">
        <v>328</v>
      </c>
    </row>
    <row r="77" spans="1:4" s="121" customFormat="1" ht="15" x14ac:dyDescent="0.25">
      <c r="A77" s="118"/>
      <c r="B77" s="139" t="s">
        <v>135</v>
      </c>
      <c r="C77" s="670"/>
      <c r="D77" s="665"/>
    </row>
    <row r="78" spans="1:4" s="121" customFormat="1" x14ac:dyDescent="0.2">
      <c r="A78" s="118"/>
      <c r="B78" s="146" t="s">
        <v>93</v>
      </c>
      <c r="C78" s="655" t="s">
        <v>18</v>
      </c>
      <c r="D78" s="658"/>
    </row>
    <row r="79" spans="1:4" s="121" customFormat="1" x14ac:dyDescent="0.2">
      <c r="A79" s="118"/>
      <c r="B79" s="147" t="s">
        <v>94</v>
      </c>
      <c r="C79" s="655" t="s">
        <v>18</v>
      </c>
      <c r="D79" s="660"/>
    </row>
    <row r="80" spans="1:4" s="121" customFormat="1" x14ac:dyDescent="0.2">
      <c r="A80" s="118"/>
      <c r="B80" s="147" t="s">
        <v>95</v>
      </c>
      <c r="C80" s="655" t="s">
        <v>18</v>
      </c>
      <c r="D80" s="660" t="s">
        <v>327</v>
      </c>
    </row>
    <row r="81" spans="1:94" s="121" customFormat="1" x14ac:dyDescent="0.2">
      <c r="A81" s="118"/>
      <c r="B81" s="148" t="s">
        <v>144</v>
      </c>
      <c r="C81" s="655" t="s">
        <v>18</v>
      </c>
      <c r="D81" s="661" t="s">
        <v>327</v>
      </c>
    </row>
    <row r="82" spans="1:94" s="118" customFormat="1" ht="15" x14ac:dyDescent="0.25">
      <c r="B82" s="127" t="s">
        <v>136</v>
      </c>
      <c r="C82" s="128"/>
      <c r="D82" s="166"/>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row>
    <row r="83" spans="1:94" s="118" customFormat="1" x14ac:dyDescent="0.2">
      <c r="B83" s="157"/>
      <c r="C83" s="138"/>
      <c r="D83" s="137"/>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121"/>
      <c r="BY83" s="121"/>
      <c r="BZ83" s="121"/>
      <c r="CA83" s="121"/>
      <c r="CB83" s="121"/>
      <c r="CC83" s="121"/>
      <c r="CD83" s="121"/>
      <c r="CE83" s="121"/>
      <c r="CF83" s="121"/>
      <c r="CG83" s="121"/>
      <c r="CH83" s="121"/>
      <c r="CI83" s="121"/>
      <c r="CJ83" s="121"/>
      <c r="CK83" s="121"/>
      <c r="CL83" s="121"/>
      <c r="CM83" s="121"/>
      <c r="CN83" s="121"/>
      <c r="CO83" s="121"/>
      <c r="CP83" s="121"/>
    </row>
    <row r="84" spans="1:94" s="118" customFormat="1" x14ac:dyDescent="0.2">
      <c r="B84" s="122"/>
      <c r="C84" s="143"/>
      <c r="D84" s="72"/>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1"/>
      <c r="CE84" s="121"/>
      <c r="CF84" s="121"/>
      <c r="CG84" s="121"/>
      <c r="CH84" s="121"/>
      <c r="CI84" s="121"/>
      <c r="CJ84" s="121"/>
      <c r="CK84" s="121"/>
      <c r="CL84" s="121"/>
      <c r="CM84" s="121"/>
      <c r="CN84" s="121"/>
      <c r="CO84" s="121"/>
      <c r="CP84" s="121"/>
    </row>
    <row r="85" spans="1:94" s="118" customFormat="1" x14ac:dyDescent="0.2">
      <c r="B85" s="129"/>
      <c r="C85" s="144"/>
      <c r="D85" s="165"/>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121"/>
      <c r="CL85" s="121"/>
      <c r="CM85" s="121"/>
      <c r="CN85" s="121"/>
      <c r="CO85" s="121"/>
      <c r="CP85" s="121"/>
    </row>
    <row r="86" spans="1:94" s="118" customFormat="1" x14ac:dyDescent="0.2">
      <c r="B86" s="122"/>
      <c r="C86" s="143"/>
      <c r="D86" s="72"/>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121"/>
      <c r="BY86" s="121"/>
      <c r="BZ86" s="121"/>
      <c r="CA86" s="121"/>
      <c r="CB86" s="121"/>
      <c r="CC86" s="121"/>
      <c r="CD86" s="121"/>
      <c r="CE86" s="121"/>
      <c r="CF86" s="121"/>
      <c r="CG86" s="121"/>
      <c r="CH86" s="121"/>
      <c r="CI86" s="121"/>
      <c r="CJ86" s="121"/>
      <c r="CK86" s="121"/>
      <c r="CL86" s="121"/>
      <c r="CM86" s="121"/>
      <c r="CN86" s="121"/>
      <c r="CO86" s="121"/>
      <c r="CP86" s="121"/>
    </row>
    <row r="87" spans="1:94" s="118" customFormat="1" x14ac:dyDescent="0.2">
      <c r="B87" s="129"/>
      <c r="C87" s="144"/>
      <c r="D87" s="165"/>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21"/>
      <c r="CG87" s="121"/>
      <c r="CH87" s="121"/>
      <c r="CI87" s="121"/>
      <c r="CJ87" s="121"/>
      <c r="CK87" s="121"/>
      <c r="CL87" s="121"/>
      <c r="CM87" s="121"/>
      <c r="CN87" s="121"/>
      <c r="CO87" s="121"/>
      <c r="CP87" s="121"/>
    </row>
    <row r="88" spans="1:94" s="118" customFormat="1" x14ac:dyDescent="0.2">
      <c r="B88" s="122"/>
      <c r="C88" s="143"/>
      <c r="D88" s="72"/>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1"/>
      <c r="CH88" s="121"/>
      <c r="CI88" s="121"/>
      <c r="CJ88" s="121"/>
      <c r="CK88" s="121"/>
      <c r="CL88" s="121"/>
      <c r="CM88" s="121"/>
      <c r="CN88" s="121"/>
      <c r="CO88" s="121"/>
      <c r="CP88" s="121"/>
    </row>
    <row r="89" spans="1:94" s="118" customFormat="1" x14ac:dyDescent="0.2">
      <c r="B89" s="130"/>
      <c r="C89" s="144"/>
      <c r="D89" s="165"/>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21"/>
      <c r="BY89" s="121"/>
      <c r="BZ89" s="121"/>
      <c r="CA89" s="121"/>
      <c r="CB89" s="121"/>
      <c r="CC89" s="121"/>
      <c r="CD89" s="121"/>
      <c r="CE89" s="121"/>
      <c r="CF89" s="121"/>
      <c r="CG89" s="121"/>
      <c r="CH89" s="121"/>
      <c r="CI89" s="121"/>
      <c r="CJ89" s="121"/>
      <c r="CK89" s="121"/>
      <c r="CL89" s="121"/>
      <c r="CM89" s="121"/>
      <c r="CN89" s="121"/>
      <c r="CO89" s="121"/>
      <c r="CP89" s="121"/>
    </row>
    <row r="90" spans="1:94" s="118" customFormat="1" x14ac:dyDescent="0.2">
      <c r="B90" s="156"/>
      <c r="C90" s="144"/>
      <c r="D90" s="165"/>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row>
    <row r="92" spans="1:94" ht="15" x14ac:dyDescent="0.2">
      <c r="B92" s="625" t="s">
        <v>123</v>
      </c>
    </row>
  </sheetData>
  <customSheetViews>
    <customSheetView guid="{F0620CD8-87A9-448D-9A15-FA44C9D2FC91}" scale="80" showGridLines="0">
      <pageMargins left="0.7" right="0.7" top="0.75" bottom="0.75" header="0.3" footer="0.3"/>
      <pageSetup paperSize="9" orientation="portrait" r:id="rId1"/>
    </customSheetView>
  </customSheetViews>
  <mergeCells count="1">
    <mergeCell ref="B10:C10"/>
  </mergeCells>
  <dataValidations xWindow="540" yWindow="395" count="50">
    <dataValidation type="list" allowBlank="1" showErrorMessage="1" sqref="C30 C83:C90">
      <formula1>EnvGSLevel</formula1>
    </dataValidation>
    <dataValidation allowBlank="1" showErrorMessage="1" sqref="B81 B78:B79 B68:B75 B65:B66 B43:B62 B37:B41 B32:B35 B21:B29 D30:D31 D82 D84:D90"/>
    <dataValidation allowBlank="1" showErrorMessage="1" prompt="." sqref="B76:B77"/>
    <dataValidation allowBlank="1" showErrorMessage="1" prompt=" " sqref="B36"/>
    <dataValidation type="list" allowBlank="1" showInputMessage="1" showErrorMessage="1" prompt="For example, cereals, vegetables, fruits. _x000a__x000a_Specify whether they are produced by NE or a tenant." sqref="C22">
      <formula1>EnvGSLevel</formula1>
    </dataValidation>
    <dataValidation type="list" allowBlank="1" showInputMessage="1" showErrorMessage="1" prompt="Only enter production of meat, dairy produce etc by NE (not tenants) here. _x000a__x000a_Enter grazing / hay production by tenants under 'Materials for agricultural use'._x000a__x000a_For eggs and honey from commercial bees specify whether they are produced by NE or a tenant." sqref="C23">
      <formula1>EnvGSLevel</formula1>
    </dataValidation>
    <dataValidation type="list" allowBlank="1" showInputMessage="1" showErrorMessage="1" prompt="For example, wild fruits, mushrooms, wild leaves for salads, samphire and seaweed harvested to eat." sqref="C24:C25">
      <formula1>EnvGSLevel</formula1>
    </dataValidation>
    <dataValidation type="list" allowBlank="1" showInputMessage="1" showErrorMessage="1" prompt="For example, sphagnum, watercress and seaweed farming._x000a__x000a_Specify whether they are produced / harvested by NE or a tenant." sqref="C26">
      <formula1>EnvGSLevel</formula1>
    </dataValidation>
    <dataValidation type="list" allowBlank="1" showInputMessage="1" showErrorMessage="1" prompt="From collected precipitation or abstracted surface water." sqref="C29">
      <formula1>EnvGSLevel</formula1>
    </dataValidation>
    <dataValidation type="list" allowBlank="1" showInputMessage="1" showErrorMessage="1" prompt="For example, genetic material used in breeding programmes and in the the biochemical and pharmaceutical industries." sqref="C34">
      <formula1>EnvGSLevel</formula1>
    </dataValidation>
    <dataValidation type="list" allowBlank="1" showInputMessage="1" showErrorMessage="1" prompt="Collected precipitation and abstracted surface water. Includes domestic use (such as washing and cleaning), irrigation, livestock, industrial use (consumption and cooling)." sqref="C36">
      <formula1>EnvGSLevel</formula1>
    </dataValidation>
    <dataValidation type="list" allowBlank="1" showInputMessage="1" showErrorMessage="1" prompt="Includes domestic use (such as washing and cleaning), irrigation, livestock, industrial use (consumption and cooling)." sqref="C37">
      <formula1>EnvGSLevel</formula1>
    </dataValidation>
    <dataValidation type="list" allowBlank="1" showInputMessage="1" showErrorMessage="1" prompt="For example, dung, fat, oil and dead animals used for burning or energy production." sqref="C40">
      <formula1>EnvGSLevel</formula1>
    </dataValidation>
    <dataValidation type="list" allowBlank="1" showInputMessage="1" showErrorMessage="1" prompt="Physical labour provided by animals for example horses." sqref="C41">
      <formula1>EnvGSLevel</formula1>
    </dataValidation>
    <dataValidation type="list" allowBlank="1" showInputMessage="1" showErrorMessage="1" prompt="Bio-chemical detoxification, decomposition or mineralisation of waste and toxic materials. Carried out by terrestrial, freshwater or marine micro-organisms, algae, plants or animals. Includes waste water cleaning and degrading oil spills." sqref="C44">
      <formula1>EnvGSLevel</formula1>
    </dataValidation>
    <dataValidation type="list" allowBlank="1" showInputMessage="1" showErrorMessage="1" prompt="Provided by terrestrial, freshwater or marine micro-organisms, algae, plants or animals. _x000a__x000a_Includes filtration by reed beds and adsorption and binding of heavy metals and organic compounds in organisms." sqref="C45">
      <formula1>EnvGSLevel</formula1>
    </dataValidation>
    <dataValidation type="list" allowBlank="1" showInputMessage="1" showErrorMessage="1" prompt="Provided by terrestrial, freshwater or marine ecosystems (including sediments). Includes adsorption and binding of heavy metals and organic compounds in ecosystems." sqref="C46">
      <formula1>EnvGSLevel</formula1>
    </dataValidation>
    <dataValidation type="list" allowBlank="1" showInputMessage="1" showErrorMessage="1" prompt="Dilution of gases, fluids, soild waste and waste water." sqref="C47">
      <formula1>EnvGSLevel</formula1>
    </dataValidation>
    <dataValidation type="list" allowBlank="1" showInputMessage="1" showErrorMessage="1" prompt="For example, the screening of transport corridors by trees and reduction of noise and smells by green space  or blue space." sqref="C48">
      <formula1>EnvGSLevel</formula1>
    </dataValidation>
    <dataValidation type="list" allowBlank="1" showInputMessage="1" showErrorMessage="1" prompt="Includes the protection provided by vegetation against erosion by rainfall, wind, rivers and the sea and protection against landslides. " sqref="C50">
      <formula1>EnvGSLevel</formula1>
    </dataValidation>
    <dataValidation type="list" allowBlank="1" showInputMessage="1" showErrorMessage="1" prompt="Transport and storage of sediment by rivers, lakes and the sea." sqref="C51">
      <formula1>EnvGSLevel</formula1>
    </dataValidation>
    <dataValidation type="list" allowBlank="1" showInputMessage="1" showErrorMessage="1" prompt="Maintaining baseline flows for water supply and discharge. Includes providing land cover that enables groundwater recharge." sqref="C52">
      <formula1>EnvGSLevel</formula1>
    </dataValidation>
    <dataValidation type="list" allowBlank="1" showInputMessage="1" showErrorMessage="1" prompt="Provided by appropriate land cover. Includes flood protection provided by wetlands and dunes._x000a__x000a_Please specify whether flood protection is provided for agricultural land, commercial premises, residential property etc." sqref="C53">
      <formula1>EnvGSLevel</formula1>
    </dataValidation>
    <dataValidation type="list" allowBlank="1" showInputMessage="1" showErrorMessage="1" prompt="Shelter belts provided by natural or planted vegetation." sqref="C54">
      <formula1>EnvGSLevel</formula1>
    </dataValidation>
    <dataValidation type="list" allowBlank="1" showInputMessage="1" showErrorMessage="1" prompt="Air ventilation that is provided by natural or planted vegetation." sqref="C55">
      <formula1>EnvGSLevel</formula1>
    </dataValidation>
    <dataValidation type="list" allowBlank="1" showInputMessage="1" showErrorMessage="1" prompt="Pollination by bees and other insects. Seed dispersal by insects, birds and other animals. _x000a__x000a_Includes green hay seed source supply. Specify whether this is produced by the NE or a tenant." sqref="C57 C65:C66 C61:C63 C69:C70 C72:C76 C78:C81">
      <formula1>EnvGSLevel</formula1>
    </dataValidation>
    <dataValidation type="list" allowBlank="1" showInputMessage="1" showErrorMessage="1" prompt="Habitats for plant and animal reproduction and nurseries, such as seagrass beds and micro-structures of rivers." sqref="C58">
      <formula1>EnvGSLevel</formula1>
    </dataValidation>
    <dataValidation type="list" allowBlank="1" showInputMessage="1" showErrorMessage="1" prompt="For example, provision of aphid control on agricultural crops by ladybirds from the NNR._x000a__x000a_Includes the ecosystem providing control of invasive non-native species." sqref="C59">
      <formula1>EnvGSLevel</formula1>
    </dataValidation>
    <dataValidation type="list" allowBlank="1" showInputMessage="1" showErrorMessage="1" prompt="Ecosystem provides control of diseases that affect cultivated and natural ecosystems and human populations." sqref="C60">
      <formula1>EnvGSLevel</formula1>
    </dataValidation>
    <dataValidation type="list" allowBlank="1" showInputMessage="1" showErrorMessage="1" prompt="Maintenance and buffering of the chemical composition of the seawater column and sediment to ensure favourable living conditions for organisms." sqref="C64">
      <formula1>EnvGSLevel</formula1>
    </dataValidation>
    <dataValidation type="list" allowBlank="1" showInputMessage="1" showErrorMessage="1" prompt="Farming of fish and shellfish._x000a__x000a_Specify whether this by NE or a tenant." sqref="C27">
      <formula1>EnvGSLevel</formula1>
    </dataValidation>
    <dataValidation type="list" allowBlank="1" showInputMessage="1" showErrorMessage="1" prompt="From animals, plants and algae e.g. timber, wool, leather, oil, resin, remedies, medicines, dyes and colours, ornaments._x000a__x000a_Do not include biomass for energy e.g. firewood (enter under _x000a_Energy)._x000a__x000a_Specify whether they are produced/harvested by NE or tenant." sqref="C32">
      <formula1>EnvGSLevel</formula1>
    </dataValidation>
    <dataValidation allowBlank="1" showInputMessage="1" showErrorMessage="1" prompt="Only enter production of meat, dairy produce etc by NE (not tenants) here. _x000a__x000a_Enter grazing / hay production by tenants under 'Materials for agricultural use'._x000a__x000a_For eggs and honey from commercial bees specify whether they are produced by NE or a tenant." sqref="D23"/>
    <dataValidation allowBlank="1" showInputMessage="1" showErrorMessage="1" prompt="For example, wild fruits, mushrooms, wild leaves for salads, samphire and seaweed harvested to eat." sqref="D24"/>
    <dataValidation allowBlank="1" showInputMessage="1" showErrorMessage="1" prompt="For example, game, fish, shellfish and honey from wild bees. Includes commercial and subsistence fishing and hunting for food._x000a__x000a_Specify whether they are harvested by NE, a tenant or licence holders." sqref="D25"/>
    <dataValidation allowBlank="1" showInputMessage="1" showErrorMessage="1" prompt="For example, sphagnum, watercress and seaweed farming._x000a__x000a_Specify whether they are produced / harvested by NE or a tenant." sqref="D26"/>
    <dataValidation allowBlank="1" showInputMessage="1" showErrorMessage="1" prompt="Farming of fish and shellfish._x000a__x000a_Specify whether this by NE or a tenant." sqref="D27"/>
    <dataValidation allowBlank="1" showInputMessage="1" showErrorMessage="1" prompt="From collected precipitation or abstracted surface water." sqref="D29"/>
    <dataValidation allowBlank="1" showInputMessage="1" showErrorMessage="1" prompt="Collected precipitation and abstracted surface water. Includes domestic use (such as washing and cleaning), irrigation, livestock, industrial use (consumption and cooling)." sqref="D36"/>
    <dataValidation allowBlank="1" showInputMessage="1" showErrorMessage="1" prompt="Includes domestic use (such as washing and cleaning), irrigation, livestock, industrial use (consumption and cooling)." sqref="D37"/>
    <dataValidation allowBlank="1" showInputMessage="1" showErrorMessage="1" prompt="For example, dung, fat, oil and dead animals used for burning or energy production." sqref="D40"/>
    <dataValidation allowBlank="1" showInputMessage="1" showErrorMessage="1" prompt="Physical labour provided by animals for example horses." sqref="D41"/>
    <dataValidation allowBlank="1" showInputMessage="1" showErrorMessage="1" prompt="Bio-chemical detoxification, decomposition or mineralisation of waste and toxic materials. Carried out by terrestrial, freshwater or marine micro-organisms, algae, plants or animals. Includes waste water cleaning and degrading oil spills." sqref="D44"/>
    <dataValidation allowBlank="1" showInputMessage="1" showErrorMessage="1" prompt="Provided by terrestrial, freshwater or marine micro-organisms, algae, plants or animals. _x000a__x000a_Includes filtration by reed beds and adsorption and binding of heavy metals and organic compounds in organisms." sqref="D45"/>
    <dataValidation allowBlank="1" showInputMessage="1" showErrorMessage="1" prompt="Dilution of gases, fluids, soild waste and waste water." sqref="D47"/>
    <dataValidation allowBlank="1" showInputMessage="1" showErrorMessage="1" prompt="For example, the screening of transport corridors by trees and reduction of noise and smells by green space  or blue space." sqref="D48"/>
    <dataValidation allowBlank="1" showInputMessage="1" showErrorMessage="1" prompt="Air ventilation that is provided by natural or planted vegetation." sqref="D55"/>
    <dataValidation allowBlank="1" showInputMessage="1" showErrorMessage="1" prompt="For example, cereals, vegetables, fruits. _x000a__x000a_Specify whether they are produced by NE or a tenant." sqref="D22"/>
    <dataValidation type="list" allowBlank="1" showInputMessage="1" showErrorMessage="1" prompt="From plants, algae and animals. For example, fertiliser, grazing, silage, hay and other animal feed._x000a__x000a_Specify whether they are produced by NE or a tenant." sqref="C33">
      <formula1>EnvGSLevel</formula1>
    </dataValidation>
    <dataValidation type="list" allowBlank="1" showInputMessage="1" showErrorMessage="1" prompt="For example, wood, straw, crops and plants for burning or energy production._x000a__x000a_Specify whether they are harvested by NE or a tenant." sqref="C39">
      <formula1>EnvGSLevel</formula1>
    </dataValidation>
  </dataValidations>
  <hyperlinks>
    <hyperlink ref="B10" location="'Tip G&amp;S'!A1" display="How to fill in this sheet"/>
    <hyperlink ref="B92" location="'G &amp; S Initial'!A1" display="Go to next sheet"/>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AA82"/>
  <sheetViews>
    <sheetView zoomScale="80" zoomScaleNormal="80" workbookViewId="0"/>
  </sheetViews>
  <sheetFormatPr defaultRowHeight="14.25" x14ac:dyDescent="0.2"/>
  <cols>
    <col min="1" max="1" width="4.77734375" style="263" customWidth="1"/>
    <col min="2" max="2" width="46.77734375" style="263" customWidth="1"/>
    <col min="3" max="3" width="17.88671875" style="263" customWidth="1"/>
    <col min="4" max="4" width="15.88671875" style="263" customWidth="1"/>
    <col min="5" max="5" width="18.77734375" style="263" customWidth="1"/>
    <col min="6" max="6" width="27.33203125" style="263" customWidth="1"/>
    <col min="7" max="7" width="23.21875" style="263" customWidth="1"/>
    <col min="8" max="8" width="3.109375" style="263" customWidth="1"/>
    <col min="9" max="9" width="27.44140625" style="310" customWidth="1"/>
    <col min="10" max="26" width="8.88671875" style="263"/>
    <col min="27" max="27" width="0" style="263" hidden="1" customWidth="1"/>
    <col min="28" max="16384" width="8.88671875" style="263"/>
  </cols>
  <sheetData>
    <row r="1" spans="2:27" x14ac:dyDescent="0.2">
      <c r="B1" s="264"/>
      <c r="C1" s="264"/>
      <c r="D1" s="264"/>
      <c r="E1" s="264"/>
      <c r="F1" s="264"/>
      <c r="G1" s="264"/>
      <c r="H1" s="264"/>
      <c r="AA1" s="263" t="s">
        <v>107</v>
      </c>
    </row>
    <row r="2" spans="2:27" ht="15.75" x14ac:dyDescent="0.25">
      <c r="B2" s="265" t="s">
        <v>252</v>
      </c>
      <c r="C2" s="265"/>
      <c r="AA2" s="263" t="s">
        <v>110</v>
      </c>
    </row>
    <row r="3" spans="2:27" ht="15.75" x14ac:dyDescent="0.25">
      <c r="B3" s="265"/>
      <c r="C3" s="265"/>
    </row>
    <row r="4" spans="2:27" ht="15" x14ac:dyDescent="0.25">
      <c r="B4" s="266" t="s">
        <v>85</v>
      </c>
      <c r="C4" s="266"/>
    </row>
    <row r="5" spans="2:27" x14ac:dyDescent="0.2">
      <c r="B5" s="263" t="s">
        <v>212</v>
      </c>
    </row>
    <row r="6" spans="2:27" x14ac:dyDescent="0.2">
      <c r="B6" s="263" t="s">
        <v>1072</v>
      </c>
    </row>
    <row r="7" spans="2:27" x14ac:dyDescent="0.2">
      <c r="B7" s="263" t="s">
        <v>887</v>
      </c>
    </row>
    <row r="9" spans="2:27" ht="15" x14ac:dyDescent="0.2">
      <c r="B9" s="267" t="s">
        <v>177</v>
      </c>
      <c r="C9" s="267"/>
      <c r="D9" s="628"/>
      <c r="E9" s="628"/>
    </row>
    <row r="10" spans="2:27" ht="15" x14ac:dyDescent="0.2">
      <c r="B10" s="268"/>
      <c r="C10" s="268"/>
      <c r="D10" s="268"/>
      <c r="E10" s="268"/>
    </row>
    <row r="11" spans="2:27" x14ac:dyDescent="0.2">
      <c r="B11" s="269" t="s">
        <v>4</v>
      </c>
      <c r="C11" s="270" t="str">
        <f>Focus!C16</f>
        <v>Shapwick Heath NNR</v>
      </c>
      <c r="F11" s="269"/>
      <c r="G11" s="269"/>
      <c r="H11" s="269"/>
    </row>
    <row r="12" spans="2:27" x14ac:dyDescent="0.2">
      <c r="D12" s="264"/>
      <c r="E12" s="264"/>
      <c r="F12" s="264"/>
      <c r="G12" s="264"/>
      <c r="H12" s="264"/>
    </row>
    <row r="13" spans="2:27" x14ac:dyDescent="0.2">
      <c r="B13" s="271" t="s">
        <v>323</v>
      </c>
      <c r="C13" s="271"/>
      <c r="D13" s="264"/>
      <c r="E13" s="264"/>
      <c r="F13" s="264"/>
      <c r="G13" s="264"/>
      <c r="H13" s="264"/>
    </row>
    <row r="14" spans="2:27" ht="89.25" x14ac:dyDescent="0.25">
      <c r="C14" s="291" t="s">
        <v>205</v>
      </c>
      <c r="D14" s="272"/>
      <c r="E14" s="272"/>
      <c r="F14" s="272"/>
      <c r="G14" s="291" t="s">
        <v>627</v>
      </c>
      <c r="H14" s="315"/>
    </row>
    <row r="15" spans="2:27" ht="30" x14ac:dyDescent="0.25">
      <c r="B15" s="273" t="s">
        <v>70</v>
      </c>
      <c r="C15" s="685" t="str">
        <f>Focus!C33</f>
        <v>2017</v>
      </c>
      <c r="D15" s="273" t="s">
        <v>220</v>
      </c>
      <c r="E15" s="273" t="s">
        <v>189</v>
      </c>
      <c r="F15" s="273" t="s">
        <v>58</v>
      </c>
      <c r="G15" s="696" t="s">
        <v>626</v>
      </c>
      <c r="H15" s="274"/>
      <c r="I15" s="316"/>
    </row>
    <row r="16" spans="2:27" ht="15" x14ac:dyDescent="0.25">
      <c r="B16" s="153" t="s">
        <v>16</v>
      </c>
      <c r="C16" s="686"/>
      <c r="D16" s="153"/>
      <c r="E16" s="153"/>
      <c r="F16" s="153"/>
      <c r="G16" s="153"/>
      <c r="H16" s="310"/>
      <c r="I16" s="316"/>
    </row>
    <row r="17" spans="2:9" ht="28.5" x14ac:dyDescent="0.2">
      <c r="B17" s="234" t="s">
        <v>1162</v>
      </c>
      <c r="C17" s="687">
        <v>12</v>
      </c>
      <c r="D17" s="97" t="s">
        <v>490</v>
      </c>
      <c r="E17" s="38" t="s">
        <v>486</v>
      </c>
      <c r="F17" s="38" t="s">
        <v>492</v>
      </c>
      <c r="G17" s="74" t="s">
        <v>107</v>
      </c>
      <c r="H17" s="310"/>
      <c r="I17" s="267" t="s">
        <v>203</v>
      </c>
    </row>
    <row r="18" spans="2:9" ht="57" x14ac:dyDescent="0.2">
      <c r="B18" s="44" t="s">
        <v>1163</v>
      </c>
      <c r="C18" s="687">
        <v>44</v>
      </c>
      <c r="D18" s="38" t="s">
        <v>500</v>
      </c>
      <c r="E18" s="38" t="s">
        <v>486</v>
      </c>
      <c r="F18" s="38"/>
      <c r="G18" s="74" t="s">
        <v>107</v>
      </c>
      <c r="H18" s="310"/>
      <c r="I18" s="267" t="s">
        <v>203</v>
      </c>
    </row>
    <row r="19" spans="2:9" ht="57" x14ac:dyDescent="0.2">
      <c r="B19" s="44" t="s">
        <v>1164</v>
      </c>
      <c r="C19" s="687">
        <v>123</v>
      </c>
      <c r="D19" s="38" t="s">
        <v>1140</v>
      </c>
      <c r="E19" s="38" t="s">
        <v>486</v>
      </c>
      <c r="F19" s="38"/>
      <c r="G19" s="74" t="s">
        <v>107</v>
      </c>
      <c r="H19" s="310"/>
      <c r="I19" s="267" t="s">
        <v>203</v>
      </c>
    </row>
    <row r="20" spans="2:9" ht="57" x14ac:dyDescent="0.2">
      <c r="B20" s="44" t="s">
        <v>1165</v>
      </c>
      <c r="C20" s="687">
        <v>42</v>
      </c>
      <c r="D20" s="38" t="s">
        <v>501</v>
      </c>
      <c r="E20" s="38" t="s">
        <v>486</v>
      </c>
      <c r="F20" s="38" t="s">
        <v>1141</v>
      </c>
      <c r="G20" s="74" t="s">
        <v>110</v>
      </c>
      <c r="H20" s="310"/>
      <c r="I20" s="267" t="s">
        <v>203</v>
      </c>
    </row>
    <row r="21" spans="2:9" ht="44.25" customHeight="1" x14ac:dyDescent="0.2">
      <c r="B21" s="44" t="s">
        <v>1166</v>
      </c>
      <c r="C21" s="687">
        <v>4</v>
      </c>
      <c r="D21" s="38" t="s">
        <v>494</v>
      </c>
      <c r="E21" s="38" t="s">
        <v>486</v>
      </c>
      <c r="F21" s="38" t="s">
        <v>491</v>
      </c>
      <c r="G21" s="74" t="s">
        <v>110</v>
      </c>
      <c r="H21" s="310"/>
      <c r="I21" s="267" t="s">
        <v>203</v>
      </c>
    </row>
    <row r="22" spans="2:9" ht="45" customHeight="1" x14ac:dyDescent="0.2">
      <c r="B22" s="44" t="s">
        <v>1167</v>
      </c>
      <c r="C22" s="687">
        <v>1</v>
      </c>
      <c r="D22" s="38" t="s">
        <v>495</v>
      </c>
      <c r="E22" s="38" t="s">
        <v>486</v>
      </c>
      <c r="F22" s="38"/>
      <c r="G22" s="74" t="s">
        <v>107</v>
      </c>
      <c r="H22" s="310"/>
      <c r="I22" s="267" t="s">
        <v>203</v>
      </c>
    </row>
    <row r="23" spans="2:9" ht="42.75" x14ac:dyDescent="0.2">
      <c r="B23" s="44" t="s">
        <v>1168</v>
      </c>
      <c r="C23" s="687">
        <v>2</v>
      </c>
      <c r="D23" s="38" t="s">
        <v>496</v>
      </c>
      <c r="E23" s="38" t="s">
        <v>486</v>
      </c>
      <c r="F23" s="38"/>
      <c r="G23" s="74" t="s">
        <v>107</v>
      </c>
      <c r="H23" s="310"/>
      <c r="I23" s="267" t="s">
        <v>203</v>
      </c>
    </row>
    <row r="24" spans="2:9" ht="42.75" x14ac:dyDescent="0.2">
      <c r="B24" s="44" t="s">
        <v>1169</v>
      </c>
      <c r="C24" s="687">
        <v>1</v>
      </c>
      <c r="D24" s="38" t="s">
        <v>497</v>
      </c>
      <c r="E24" s="38" t="s">
        <v>486</v>
      </c>
      <c r="F24" s="38"/>
      <c r="G24" s="74" t="s">
        <v>107</v>
      </c>
      <c r="H24" s="310"/>
      <c r="I24" s="267" t="s">
        <v>203</v>
      </c>
    </row>
    <row r="25" spans="2:9" ht="15" x14ac:dyDescent="0.2">
      <c r="B25" s="123" t="s">
        <v>51</v>
      </c>
      <c r="C25" s="688"/>
      <c r="D25" s="123"/>
      <c r="E25" s="123"/>
      <c r="F25" s="123"/>
      <c r="G25" s="123"/>
      <c r="H25" s="310"/>
      <c r="I25" s="267"/>
    </row>
    <row r="26" spans="2:9" ht="114" x14ac:dyDescent="0.2">
      <c r="B26" s="275" t="s">
        <v>1170</v>
      </c>
      <c r="C26" s="884">
        <f>E73</f>
        <v>-704.13800000000003</v>
      </c>
      <c r="D26" s="277" t="s">
        <v>265</v>
      </c>
      <c r="E26" s="292" t="s">
        <v>792</v>
      </c>
      <c r="F26" s="292" t="s">
        <v>793</v>
      </c>
      <c r="G26" s="309" t="s">
        <v>107</v>
      </c>
      <c r="H26" s="310"/>
      <c r="I26" s="267"/>
    </row>
    <row r="27" spans="2:9" ht="15.75" x14ac:dyDescent="0.2">
      <c r="B27" s="44"/>
      <c r="C27" s="689"/>
      <c r="D27" s="38"/>
      <c r="E27" s="38"/>
      <c r="F27" s="38"/>
      <c r="G27" s="74"/>
      <c r="H27" s="310"/>
      <c r="I27" s="267" t="s">
        <v>203</v>
      </c>
    </row>
    <row r="28" spans="2:9" ht="15.75" x14ac:dyDescent="0.2">
      <c r="B28" s="44"/>
      <c r="C28" s="689"/>
      <c r="D28" s="38"/>
      <c r="E28" s="38"/>
      <c r="F28" s="38"/>
      <c r="G28" s="74"/>
      <c r="H28" s="310"/>
      <c r="I28" s="267" t="s">
        <v>203</v>
      </c>
    </row>
    <row r="29" spans="2:9" x14ac:dyDescent="0.2">
      <c r="B29" s="44"/>
      <c r="C29" s="687"/>
      <c r="D29" s="38"/>
      <c r="E29" s="38"/>
      <c r="F29" s="38"/>
      <c r="G29" s="74"/>
      <c r="H29" s="310"/>
      <c r="I29" s="267" t="s">
        <v>203</v>
      </c>
    </row>
    <row r="30" spans="2:9" x14ac:dyDescent="0.2">
      <c r="B30" s="44"/>
      <c r="C30" s="687"/>
      <c r="D30" s="38"/>
      <c r="E30" s="38"/>
      <c r="F30" s="38"/>
      <c r="G30" s="74"/>
      <c r="H30" s="310"/>
      <c r="I30" s="267" t="s">
        <v>203</v>
      </c>
    </row>
    <row r="31" spans="2:9" ht="15" x14ac:dyDescent="0.2">
      <c r="B31" s="125" t="s">
        <v>185</v>
      </c>
      <c r="C31" s="690"/>
      <c r="D31" s="125"/>
      <c r="E31" s="125"/>
      <c r="F31" s="125"/>
      <c r="G31" s="125"/>
      <c r="H31" s="310"/>
      <c r="I31" s="267"/>
    </row>
    <row r="32" spans="2:9" x14ac:dyDescent="0.2">
      <c r="B32" s="277" t="s">
        <v>199</v>
      </c>
      <c r="C32" s="691">
        <v>80000</v>
      </c>
      <c r="D32" s="277" t="s">
        <v>218</v>
      </c>
      <c r="E32" s="38" t="s">
        <v>338</v>
      </c>
      <c r="F32" s="38"/>
      <c r="G32" s="312" t="s">
        <v>107</v>
      </c>
      <c r="H32" s="310"/>
      <c r="I32" s="267" t="s">
        <v>203</v>
      </c>
    </row>
    <row r="33" spans="2:9" ht="29.25" x14ac:dyDescent="0.2">
      <c r="B33" s="281" t="s">
        <v>208</v>
      </c>
      <c r="C33" s="692">
        <v>726</v>
      </c>
      <c r="D33" s="281" t="s">
        <v>218</v>
      </c>
      <c r="E33" s="235" t="s">
        <v>338</v>
      </c>
      <c r="F33" s="235" t="s">
        <v>369</v>
      </c>
      <c r="G33" s="524" t="s">
        <v>107</v>
      </c>
      <c r="H33" s="310"/>
      <c r="I33" s="267" t="s">
        <v>203</v>
      </c>
    </row>
    <row r="34" spans="2:9" ht="29.25" x14ac:dyDescent="0.2">
      <c r="B34" s="526" t="s">
        <v>201</v>
      </c>
      <c r="C34" s="989">
        <v>0</v>
      </c>
      <c r="D34" s="527" t="s">
        <v>218</v>
      </c>
      <c r="E34" s="528"/>
      <c r="F34" s="528"/>
      <c r="G34" s="311"/>
      <c r="H34" s="310"/>
      <c r="I34" s="267" t="s">
        <v>203</v>
      </c>
    </row>
    <row r="35" spans="2:9" ht="43.5" x14ac:dyDescent="0.2">
      <c r="B35" s="281" t="s">
        <v>209</v>
      </c>
      <c r="C35" s="990">
        <v>0</v>
      </c>
      <c r="D35" s="281" t="s">
        <v>218</v>
      </c>
      <c r="E35" s="235"/>
      <c r="F35" s="235"/>
      <c r="G35" s="524"/>
      <c r="H35" s="310"/>
      <c r="I35" s="267" t="s">
        <v>203</v>
      </c>
    </row>
    <row r="36" spans="2:9" ht="43.5" customHeight="1" x14ac:dyDescent="0.2">
      <c r="B36" s="526" t="s">
        <v>202</v>
      </c>
      <c r="C36" s="991">
        <v>0</v>
      </c>
      <c r="D36" s="526" t="s">
        <v>218</v>
      </c>
      <c r="E36" s="529"/>
      <c r="F36" s="529"/>
      <c r="G36" s="311"/>
      <c r="H36" s="310"/>
      <c r="I36" s="267" t="s">
        <v>203</v>
      </c>
    </row>
    <row r="37" spans="2:9" ht="42.75" x14ac:dyDescent="0.2">
      <c r="B37" s="280" t="s">
        <v>198</v>
      </c>
      <c r="C37" s="693">
        <v>1300</v>
      </c>
      <c r="D37" s="281" t="s">
        <v>218</v>
      </c>
      <c r="E37" s="229" t="s">
        <v>338</v>
      </c>
      <c r="F37" s="229" t="s">
        <v>607</v>
      </c>
      <c r="G37" s="74" t="s">
        <v>107</v>
      </c>
      <c r="H37" s="310"/>
      <c r="I37" s="267" t="s">
        <v>203</v>
      </c>
    </row>
    <row r="38" spans="2:9" ht="28.5" x14ac:dyDescent="0.2">
      <c r="B38" s="278" t="s">
        <v>200</v>
      </c>
      <c r="C38" s="992">
        <v>0</v>
      </c>
      <c r="D38" s="279" t="s">
        <v>218</v>
      </c>
      <c r="E38" s="230"/>
      <c r="F38" s="230"/>
      <c r="G38" s="311"/>
      <c r="H38" s="310"/>
      <c r="I38" s="267" t="s">
        <v>203</v>
      </c>
    </row>
    <row r="39" spans="2:9" ht="28.5" x14ac:dyDescent="0.2">
      <c r="B39" s="277" t="s">
        <v>1157</v>
      </c>
      <c r="C39" s="993">
        <v>0</v>
      </c>
      <c r="D39" s="277" t="s">
        <v>219</v>
      </c>
      <c r="E39" s="172"/>
      <c r="F39" s="172"/>
      <c r="G39" s="313"/>
      <c r="H39" s="310"/>
      <c r="I39" s="267" t="s">
        <v>203</v>
      </c>
    </row>
    <row r="40" spans="2:9" ht="28.5" x14ac:dyDescent="0.2">
      <c r="B40" s="282" t="s">
        <v>1158</v>
      </c>
      <c r="C40" s="694">
        <v>63</v>
      </c>
      <c r="D40" s="282" t="s">
        <v>219</v>
      </c>
      <c r="E40" s="231" t="s">
        <v>338</v>
      </c>
      <c r="F40" s="231" t="s">
        <v>343</v>
      </c>
      <c r="G40" s="313" t="s">
        <v>107</v>
      </c>
      <c r="H40" s="310"/>
      <c r="I40" s="267" t="s">
        <v>203</v>
      </c>
    </row>
    <row r="41" spans="2:9" ht="85.5" x14ac:dyDescent="0.2">
      <c r="B41" s="276" t="s">
        <v>1004</v>
      </c>
      <c r="C41" s="687">
        <v>3</v>
      </c>
      <c r="D41" s="276" t="s">
        <v>368</v>
      </c>
      <c r="E41" s="38" t="s">
        <v>339</v>
      </c>
      <c r="F41" s="38"/>
      <c r="G41" s="313" t="s">
        <v>107</v>
      </c>
      <c r="H41" s="310"/>
      <c r="I41" s="267" t="s">
        <v>203</v>
      </c>
    </row>
    <row r="42" spans="2:9" ht="28.5" x14ac:dyDescent="0.2">
      <c r="B42" s="283" t="s">
        <v>267</v>
      </c>
      <c r="C42" s="695">
        <v>0</v>
      </c>
      <c r="D42" s="283" t="s">
        <v>266</v>
      </c>
      <c r="E42" s="232"/>
      <c r="F42" s="232"/>
      <c r="G42" s="313"/>
      <c r="H42" s="310"/>
      <c r="I42" s="267" t="s">
        <v>203</v>
      </c>
    </row>
    <row r="43" spans="2:9" ht="28.5" x14ac:dyDescent="0.2">
      <c r="B43" s="236" t="s">
        <v>1159</v>
      </c>
      <c r="C43" s="695">
        <v>54</v>
      </c>
      <c r="D43" s="236" t="s">
        <v>471</v>
      </c>
      <c r="E43" s="232" t="s">
        <v>338</v>
      </c>
      <c r="F43" s="232"/>
      <c r="G43" s="313" t="s">
        <v>107</v>
      </c>
      <c r="H43" s="310"/>
      <c r="I43" s="267" t="s">
        <v>203</v>
      </c>
    </row>
    <row r="44" spans="2:9" ht="28.5" x14ac:dyDescent="0.2">
      <c r="B44" s="236" t="s">
        <v>1160</v>
      </c>
      <c r="C44" s="695">
        <v>80</v>
      </c>
      <c r="D44" s="236" t="s">
        <v>472</v>
      </c>
      <c r="E44" s="232" t="s">
        <v>338</v>
      </c>
      <c r="F44" s="232"/>
      <c r="G44" s="313" t="s">
        <v>107</v>
      </c>
      <c r="H44" s="310"/>
      <c r="I44" s="267" t="s">
        <v>203</v>
      </c>
    </row>
    <row r="45" spans="2:9" ht="85.5" x14ac:dyDescent="0.2">
      <c r="B45" s="173" t="s">
        <v>1161</v>
      </c>
      <c r="C45" s="687">
        <v>33</v>
      </c>
      <c r="D45" s="97" t="s">
        <v>219</v>
      </c>
      <c r="E45" s="38" t="s">
        <v>338</v>
      </c>
      <c r="F45" s="38" t="s">
        <v>993</v>
      </c>
      <c r="G45" s="74" t="s">
        <v>107</v>
      </c>
      <c r="H45" s="310"/>
      <c r="I45" s="267" t="s">
        <v>203</v>
      </c>
    </row>
    <row r="46" spans="2:9" x14ac:dyDescent="0.2">
      <c r="B46" s="173"/>
      <c r="C46" s="687"/>
      <c r="D46" s="97"/>
      <c r="E46" s="38"/>
      <c r="F46" s="38"/>
      <c r="G46" s="74"/>
      <c r="H46" s="310"/>
      <c r="I46" s="267" t="s">
        <v>203</v>
      </c>
    </row>
    <row r="47" spans="2:9" x14ac:dyDescent="0.2">
      <c r="B47" s="173"/>
      <c r="C47" s="687"/>
      <c r="D47" s="97"/>
      <c r="E47" s="38"/>
      <c r="F47" s="38"/>
      <c r="G47" s="74"/>
      <c r="H47" s="310"/>
      <c r="I47" s="267" t="s">
        <v>203</v>
      </c>
    </row>
    <row r="48" spans="2:9" x14ac:dyDescent="0.2">
      <c r="B48" s="173"/>
      <c r="C48" s="687"/>
      <c r="D48" s="97"/>
      <c r="E48" s="38"/>
      <c r="F48" s="38"/>
      <c r="G48" s="74"/>
      <c r="H48" s="310"/>
      <c r="I48" s="267" t="s">
        <v>203</v>
      </c>
    </row>
    <row r="49" spans="2:9" x14ac:dyDescent="0.2">
      <c r="B49" s="284"/>
      <c r="C49" s="284"/>
      <c r="D49" s="276"/>
      <c r="I49" s="316"/>
    </row>
    <row r="50" spans="2:9" ht="15" x14ac:dyDescent="0.2">
      <c r="B50" s="285" t="s">
        <v>123</v>
      </c>
      <c r="C50" s="285"/>
      <c r="I50" s="316"/>
    </row>
    <row r="51" spans="2:9" ht="15" x14ac:dyDescent="0.25">
      <c r="B51" s="266"/>
      <c r="C51" s="266"/>
      <c r="I51" s="316"/>
    </row>
    <row r="52" spans="2:9" ht="15" x14ac:dyDescent="0.25">
      <c r="B52" s="286" t="s">
        <v>764</v>
      </c>
      <c r="C52" s="286"/>
      <c r="D52" s="287"/>
      <c r="E52" s="287"/>
      <c r="G52" s="287"/>
      <c r="H52" s="287"/>
      <c r="I52" s="316"/>
    </row>
    <row r="53" spans="2:9" ht="15" x14ac:dyDescent="0.25">
      <c r="B53" s="287" t="s">
        <v>768</v>
      </c>
      <c r="C53" s="286"/>
      <c r="D53" s="287"/>
      <c r="E53" s="287"/>
      <c r="F53" s="287"/>
      <c r="G53" s="287"/>
      <c r="H53" s="287"/>
    </row>
    <row r="54" spans="2:9" x14ac:dyDescent="0.2">
      <c r="B54" s="263" t="s">
        <v>769</v>
      </c>
      <c r="D54" s="287"/>
      <c r="E54" s="287"/>
      <c r="F54" s="287"/>
      <c r="G54" s="287"/>
      <c r="H54" s="287"/>
    </row>
    <row r="55" spans="2:9" x14ac:dyDescent="0.2">
      <c r="B55" s="287" t="s">
        <v>770</v>
      </c>
      <c r="C55" s="287"/>
      <c r="D55" s="287"/>
      <c r="E55" s="287"/>
      <c r="F55" s="287"/>
      <c r="G55" s="287"/>
      <c r="H55" s="287"/>
    </row>
    <row r="56" spans="2:9" x14ac:dyDescent="0.2">
      <c r="B56" s="287" t="s">
        <v>1063</v>
      </c>
      <c r="C56" s="287"/>
      <c r="D56" s="287"/>
      <c r="E56" s="287"/>
      <c r="F56" s="287"/>
      <c r="G56" s="287"/>
      <c r="H56" s="287"/>
    </row>
    <row r="57" spans="2:9" x14ac:dyDescent="0.2">
      <c r="B57" s="287"/>
      <c r="C57" s="287"/>
      <c r="D57" s="287"/>
      <c r="E57" s="287"/>
      <c r="F57" s="287"/>
      <c r="G57" s="287"/>
      <c r="H57" s="287"/>
    </row>
    <row r="58" spans="2:9" ht="15" x14ac:dyDescent="0.2">
      <c r="B58" s="287"/>
      <c r="D58" s="288" t="s">
        <v>196</v>
      </c>
      <c r="E58" s="288" t="s">
        <v>196</v>
      </c>
      <c r="F58" s="287"/>
      <c r="G58" s="287"/>
      <c r="H58" s="287"/>
    </row>
    <row r="59" spans="2:9" ht="15" x14ac:dyDescent="0.25">
      <c r="B59" s="287"/>
      <c r="C59" s="289"/>
      <c r="D59" s="288" t="s">
        <v>787</v>
      </c>
      <c r="E59" s="288" t="s">
        <v>787</v>
      </c>
      <c r="F59" s="287"/>
      <c r="G59" s="287"/>
      <c r="H59" s="287"/>
    </row>
    <row r="60" spans="2:9" ht="15" x14ac:dyDescent="0.25">
      <c r="B60" s="287"/>
      <c r="C60" s="289" t="s">
        <v>765</v>
      </c>
      <c r="D60" s="288" t="s">
        <v>788</v>
      </c>
      <c r="E60" s="288" t="s">
        <v>788</v>
      </c>
      <c r="F60" s="287"/>
      <c r="G60" s="287"/>
      <c r="H60" s="287"/>
    </row>
    <row r="61" spans="2:9" ht="15" x14ac:dyDescent="0.25">
      <c r="B61" s="866" t="s">
        <v>771</v>
      </c>
      <c r="C61" s="866" t="s">
        <v>766</v>
      </c>
      <c r="D61" s="867" t="s">
        <v>789</v>
      </c>
      <c r="E61" s="867" t="s">
        <v>790</v>
      </c>
      <c r="F61" s="873" t="s">
        <v>783</v>
      </c>
      <c r="G61" s="870"/>
      <c r="H61" s="289"/>
    </row>
    <row r="62" spans="2:9" x14ac:dyDescent="0.2">
      <c r="B62" s="868" t="s">
        <v>767</v>
      </c>
      <c r="C62" s="875">
        <v>40.590000000000003</v>
      </c>
      <c r="D62" s="287">
        <v>6.86</v>
      </c>
      <c r="E62" s="871">
        <f>C62*D62</f>
        <v>278.44740000000002</v>
      </c>
      <c r="F62" s="874" t="s">
        <v>784</v>
      </c>
    </row>
    <row r="63" spans="2:9" ht="15" x14ac:dyDescent="0.25">
      <c r="B63" s="868" t="s">
        <v>347</v>
      </c>
      <c r="C63" s="875">
        <v>181.2</v>
      </c>
      <c r="D63" s="287">
        <v>-3.91</v>
      </c>
      <c r="E63" s="871">
        <f t="shared" ref="E63:E72" si="0">C63*D63</f>
        <v>-708.49199999999996</v>
      </c>
      <c r="F63" s="874" t="s">
        <v>785</v>
      </c>
      <c r="H63" s="289"/>
    </row>
    <row r="64" spans="2:9" ht="15" x14ac:dyDescent="0.25">
      <c r="B64" s="868" t="s">
        <v>348</v>
      </c>
      <c r="C64" s="875">
        <v>12.3</v>
      </c>
      <c r="D64" s="287">
        <v>-6.05</v>
      </c>
      <c r="E64" s="871">
        <f t="shared" si="0"/>
        <v>-74.415000000000006</v>
      </c>
      <c r="F64" s="290" t="s">
        <v>773</v>
      </c>
      <c r="H64" s="289"/>
    </row>
    <row r="65" spans="2:8" x14ac:dyDescent="0.2">
      <c r="B65" s="868" t="s">
        <v>349</v>
      </c>
      <c r="C65" s="875">
        <v>51.15</v>
      </c>
      <c r="D65" s="869" t="s">
        <v>772</v>
      </c>
      <c r="E65" s="872"/>
      <c r="F65" s="290"/>
      <c r="H65" s="287"/>
    </row>
    <row r="66" spans="2:8" x14ac:dyDescent="0.2">
      <c r="B66" s="868" t="s">
        <v>350</v>
      </c>
      <c r="C66" s="875">
        <v>45.67</v>
      </c>
      <c r="D66" s="287">
        <v>-10.71</v>
      </c>
      <c r="E66" s="871">
        <f t="shared" si="0"/>
        <v>-489.12570000000005</v>
      </c>
      <c r="F66" s="290" t="s">
        <v>786</v>
      </c>
      <c r="H66" s="287"/>
    </row>
    <row r="67" spans="2:8" x14ac:dyDescent="0.2">
      <c r="B67" s="287" t="s">
        <v>351</v>
      </c>
      <c r="C67" s="875">
        <v>4.54</v>
      </c>
      <c r="D67" s="287">
        <v>-1.26</v>
      </c>
      <c r="E67" s="871">
        <f t="shared" si="0"/>
        <v>-5.7203999999999997</v>
      </c>
      <c r="F67" s="290" t="s">
        <v>775</v>
      </c>
      <c r="H67" s="287"/>
    </row>
    <row r="68" spans="2:8" x14ac:dyDescent="0.2">
      <c r="B68" s="287" t="s">
        <v>776</v>
      </c>
      <c r="C68" s="875">
        <v>0.48</v>
      </c>
      <c r="D68" s="287">
        <v>-6.05</v>
      </c>
      <c r="E68" s="871">
        <f t="shared" si="0"/>
        <v>-2.9039999999999999</v>
      </c>
      <c r="F68" s="290" t="s">
        <v>773</v>
      </c>
      <c r="H68" s="287"/>
    </row>
    <row r="69" spans="2:8" x14ac:dyDescent="0.2">
      <c r="B69" s="287" t="s">
        <v>353</v>
      </c>
      <c r="C69" s="875">
        <v>4</v>
      </c>
      <c r="D69" s="287">
        <v>17.25</v>
      </c>
      <c r="E69" s="871">
        <f t="shared" si="0"/>
        <v>69</v>
      </c>
      <c r="F69" s="290" t="s">
        <v>774</v>
      </c>
      <c r="H69" s="287"/>
    </row>
    <row r="70" spans="2:8" x14ac:dyDescent="0.2">
      <c r="B70" s="263" t="s">
        <v>354</v>
      </c>
      <c r="C70" s="264">
        <v>5.07</v>
      </c>
      <c r="D70" s="263">
        <v>-6.05</v>
      </c>
      <c r="E70" s="871">
        <f t="shared" si="0"/>
        <v>-30.673500000000001</v>
      </c>
      <c r="F70" s="290" t="s">
        <v>773</v>
      </c>
    </row>
    <row r="71" spans="2:8" x14ac:dyDescent="0.2">
      <c r="B71" s="263" t="s">
        <v>355</v>
      </c>
      <c r="C71" s="264">
        <v>14.21</v>
      </c>
      <c r="D71" s="263">
        <v>17.25</v>
      </c>
      <c r="E71" s="871">
        <f t="shared" si="0"/>
        <v>245.1225</v>
      </c>
      <c r="F71" s="290" t="s">
        <v>774</v>
      </c>
    </row>
    <row r="72" spans="2:8" x14ac:dyDescent="0.2">
      <c r="B72" s="263" t="s">
        <v>356</v>
      </c>
      <c r="C72" s="264">
        <v>16.43</v>
      </c>
      <c r="D72" s="263">
        <v>0.89</v>
      </c>
      <c r="E72" s="871">
        <f t="shared" si="0"/>
        <v>14.6227</v>
      </c>
      <c r="F72" s="874" t="s">
        <v>777</v>
      </c>
    </row>
    <row r="73" spans="2:8" ht="15" x14ac:dyDescent="0.25">
      <c r="B73" s="266" t="s">
        <v>791</v>
      </c>
      <c r="C73" s="266">
        <f>SUM(C62:C72)</f>
        <v>375.64000000000004</v>
      </c>
      <c r="E73" s="887">
        <f>SUM(E62:E72)</f>
        <v>-704.13800000000003</v>
      </c>
    </row>
    <row r="76" spans="2:8" ht="15" x14ac:dyDescent="0.25">
      <c r="B76" s="263" t="s">
        <v>782</v>
      </c>
    </row>
    <row r="78" spans="2:8" x14ac:dyDescent="0.2">
      <c r="B78" s="263" t="s">
        <v>556</v>
      </c>
    </row>
    <row r="79" spans="2:8" x14ac:dyDescent="0.2">
      <c r="B79" s="263" t="s">
        <v>779</v>
      </c>
    </row>
    <row r="80" spans="2:8" x14ac:dyDescent="0.2">
      <c r="B80" s="263" t="s">
        <v>780</v>
      </c>
    </row>
    <row r="81" spans="2:2" ht="15" x14ac:dyDescent="0.2">
      <c r="B81" s="263" t="s">
        <v>778</v>
      </c>
    </row>
    <row r="82" spans="2:2" x14ac:dyDescent="0.2">
      <c r="B82" s="263" t="s">
        <v>781</v>
      </c>
    </row>
  </sheetData>
  <dataValidations count="2">
    <dataValidation allowBlank="1" showErrorMessage="1" sqref="B26"/>
    <dataValidation type="list" allowBlank="1" showInputMessage="1" showErrorMessage="1" error="Select Yes or No from drop down list" sqref="G27:G30 G17:G24 G32:G48">
      <formula1>$AA$1:$AA$2</formula1>
    </dataValidation>
  </dataValidations>
  <hyperlinks>
    <hyperlink ref="B50" location="Indicators!A1" display="Go to next sheet"/>
    <hyperlink ref="I17" location="'G &amp; S Projections'!F20" display="Click here to enter projections"/>
    <hyperlink ref="I27:I30" location="'G &amp; S Projections'!A1" display="If not, click here to enter estimates of quantities for future years."/>
    <hyperlink ref="I32:I48" location="'G &amp; S Projections'!A1" display="If not, click here to enter estimates of quantities for future years."/>
    <hyperlink ref="I18" location="'G &amp; S Projections'!F21" display="Click here to enter projections"/>
    <hyperlink ref="I21" location="'G &amp; S Projections'!F24" display="Click here to enter projections"/>
    <hyperlink ref="I22" location="'G &amp; S Projections'!F25" display="Click here to enter projections"/>
    <hyperlink ref="I27" location="'G &amp; S Projections'!F30" display="Click here to enter projections"/>
    <hyperlink ref="I28" location="'G &amp; S Projections'!F31" display="Click here to enter projections"/>
    <hyperlink ref="I29" location="'G &amp; S Projections'!F32" display="Click here to enter projections"/>
    <hyperlink ref="I30" location="'G &amp; S Projections'!F33" display="Click here to enter projections"/>
    <hyperlink ref="I32" location="'G &amp; S Projections'!F35" display="Click here to enter projections"/>
    <hyperlink ref="I33" location="'G &amp; S Projections'!F36" display="Click here to enter projections"/>
    <hyperlink ref="I34" location="'G &amp; S Projections'!F37" display="Click here to enter projections"/>
    <hyperlink ref="I35" location="'G &amp; S Projections'!F38" display="Click here to enter projections"/>
    <hyperlink ref="I36" location="'G &amp; S Projections'!F39" display="Click here to enter projections"/>
    <hyperlink ref="I37" location="'G &amp; S Projections'!F40" display="Click here to enter projections"/>
    <hyperlink ref="I38" location="'G &amp; S Projections'!F41" display="Click here to enter projections"/>
    <hyperlink ref="I39" location="'G &amp; S Projections'!F42" display="Click here to enter projections"/>
    <hyperlink ref="I40" location="'G &amp; S Projections'!F43" display="Click here to enter projections"/>
    <hyperlink ref="I41" location="'G &amp; S Projections'!F44" display="Click here to enter projections"/>
    <hyperlink ref="I42" location="'G &amp; S Projections'!F45" display="Click here to enter projections"/>
    <hyperlink ref="I43" location="'G &amp; S Projections'!F46" display="Click here to enter projections"/>
    <hyperlink ref="I44" location="'G &amp; S Projections'!F47" display="Click here to enter projections"/>
    <hyperlink ref="I45" location="'G &amp; S Projections'!F48" display="Click here to enter projections"/>
    <hyperlink ref="I46" location="'G &amp; S Projections'!F49" display="Click here to enter projections"/>
    <hyperlink ref="I47" location="'G &amp; S Projections'!F50" display="Click here to enter projections"/>
    <hyperlink ref="I48" location="'G &amp; S Projections'!F51" display="Click here to enter projections"/>
    <hyperlink ref="B9" location="'Tip G&amp;SInitial'!A1" display="How to complete this sheet - select here."/>
    <hyperlink ref="I19" location="'G &amp; S Projections'!F22" display="Click here to enter projections"/>
    <hyperlink ref="I20" location="'G &amp; S Projections'!F23" display="Click here to enter projections"/>
    <hyperlink ref="I23" location="'G &amp; S Projections'!F26" display="Click here to enter projections"/>
    <hyperlink ref="I24" location="'G &amp; S Projections'!F27" display="Click here to enter projections"/>
  </hyperlinks>
  <pageMargins left="0.7" right="0.7" top="0.75" bottom="0.75" header="0.3" footer="0.3"/>
  <pageSetup paperSize="9"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X71"/>
  <sheetViews>
    <sheetView zoomScale="80" zoomScaleNormal="80" workbookViewId="0"/>
  </sheetViews>
  <sheetFormatPr defaultRowHeight="14.25" x14ac:dyDescent="0.2"/>
  <cols>
    <col min="1" max="1" width="4.77734375" style="242" customWidth="1"/>
    <col min="2" max="2" width="46.77734375" style="242" customWidth="1"/>
    <col min="3" max="3" width="16.109375" style="242" customWidth="1"/>
    <col min="4" max="4" width="21.77734375" style="242" customWidth="1"/>
    <col min="5" max="24" width="10.33203125" style="242" customWidth="1"/>
    <col min="25" max="16384" width="8.88671875" style="242"/>
  </cols>
  <sheetData>
    <row r="1" spans="2:6" x14ac:dyDescent="0.2">
      <c r="B1" s="243"/>
      <c r="C1" s="243"/>
      <c r="D1" s="243"/>
      <c r="E1" s="243"/>
      <c r="F1" s="243"/>
    </row>
    <row r="2" spans="2:6" ht="15.75" x14ac:dyDescent="0.25">
      <c r="B2" s="244" t="s">
        <v>207</v>
      </c>
    </row>
    <row r="3" spans="2:6" ht="15.75" x14ac:dyDescent="0.25">
      <c r="B3" s="244"/>
    </row>
    <row r="4" spans="2:6" ht="15" x14ac:dyDescent="0.25">
      <c r="B4" s="245" t="s">
        <v>85</v>
      </c>
    </row>
    <row r="5" spans="2:6" x14ac:dyDescent="0.2">
      <c r="B5" s="242" t="s">
        <v>1070</v>
      </c>
    </row>
    <row r="6" spans="2:6" x14ac:dyDescent="0.2">
      <c r="B6" s="242" t="s">
        <v>324</v>
      </c>
    </row>
    <row r="7" spans="2:6" x14ac:dyDescent="0.2">
      <c r="B7" s="242" t="s">
        <v>1074</v>
      </c>
    </row>
    <row r="8" spans="2:6" x14ac:dyDescent="0.2">
      <c r="B8" s="242" t="s">
        <v>1073</v>
      </c>
    </row>
    <row r="10" spans="2:6" x14ac:dyDescent="0.2">
      <c r="B10" s="251" t="s">
        <v>210</v>
      </c>
      <c r="C10" s="246"/>
      <c r="D10" s="246"/>
    </row>
    <row r="11" spans="2:6" x14ac:dyDescent="0.2">
      <c r="B11" s="251" t="s">
        <v>211</v>
      </c>
      <c r="C11" s="246"/>
      <c r="D11" s="246"/>
    </row>
    <row r="12" spans="2:6" ht="15" x14ac:dyDescent="0.2">
      <c r="B12" s="247"/>
      <c r="C12" s="247"/>
      <c r="D12" s="247"/>
    </row>
    <row r="13" spans="2:6" x14ac:dyDescent="0.2">
      <c r="B13" s="248" t="s">
        <v>4</v>
      </c>
      <c r="C13" s="249" t="str">
        <f>Focus!C16</f>
        <v>Shapwick Heath NNR</v>
      </c>
      <c r="D13" s="249"/>
      <c r="E13" s="250"/>
      <c r="F13" s="248"/>
    </row>
    <row r="14" spans="2:6" x14ac:dyDescent="0.2">
      <c r="C14" s="243"/>
      <c r="D14" s="243"/>
      <c r="E14" s="243"/>
      <c r="F14" s="243"/>
    </row>
    <row r="15" spans="2:6" x14ac:dyDescent="0.2">
      <c r="B15" s="246" t="s">
        <v>206</v>
      </c>
      <c r="C15" s="243"/>
      <c r="D15" s="243"/>
      <c r="E15" s="243"/>
      <c r="F15" s="243"/>
    </row>
    <row r="16" spans="2:6" x14ac:dyDescent="0.2">
      <c r="B16" s="251"/>
      <c r="C16" s="243"/>
      <c r="D16" s="243"/>
      <c r="E16" s="243"/>
      <c r="F16" s="243"/>
    </row>
    <row r="17" spans="2:24" ht="21.75" customHeight="1" x14ac:dyDescent="0.25">
      <c r="C17" s="252"/>
      <c r="D17" s="252"/>
      <c r="E17" s="494" t="s">
        <v>205</v>
      </c>
      <c r="F17" s="256"/>
    </row>
    <row r="18" spans="2:24" ht="45" x14ac:dyDescent="0.25">
      <c r="B18" s="253" t="s">
        <v>70</v>
      </c>
      <c r="C18" s="253" t="s">
        <v>184</v>
      </c>
      <c r="D18" s="253" t="s">
        <v>204</v>
      </c>
      <c r="E18" s="257" t="str">
        <f>Focus!C33</f>
        <v>2017</v>
      </c>
      <c r="F18" s="258">
        <f>E18+1</f>
        <v>2018</v>
      </c>
      <c r="G18" s="258">
        <f t="shared" ref="G18:X18" si="0">F18+1</f>
        <v>2019</v>
      </c>
      <c r="H18" s="258">
        <f t="shared" si="0"/>
        <v>2020</v>
      </c>
      <c r="I18" s="258">
        <f t="shared" si="0"/>
        <v>2021</v>
      </c>
      <c r="J18" s="258">
        <f t="shared" si="0"/>
        <v>2022</v>
      </c>
      <c r="K18" s="258">
        <f t="shared" si="0"/>
        <v>2023</v>
      </c>
      <c r="L18" s="258">
        <f t="shared" si="0"/>
        <v>2024</v>
      </c>
      <c r="M18" s="258">
        <f t="shared" si="0"/>
        <v>2025</v>
      </c>
      <c r="N18" s="258">
        <f t="shared" si="0"/>
        <v>2026</v>
      </c>
      <c r="O18" s="258">
        <f t="shared" si="0"/>
        <v>2027</v>
      </c>
      <c r="P18" s="258">
        <f t="shared" si="0"/>
        <v>2028</v>
      </c>
      <c r="Q18" s="258">
        <f t="shared" si="0"/>
        <v>2029</v>
      </c>
      <c r="R18" s="258">
        <f t="shared" si="0"/>
        <v>2030</v>
      </c>
      <c r="S18" s="258">
        <f t="shared" si="0"/>
        <v>2031</v>
      </c>
      <c r="T18" s="258">
        <f t="shared" si="0"/>
        <v>2032</v>
      </c>
      <c r="U18" s="258">
        <f t="shared" si="0"/>
        <v>2033</v>
      </c>
      <c r="V18" s="258">
        <f t="shared" si="0"/>
        <v>2034</v>
      </c>
      <c r="W18" s="258">
        <f t="shared" si="0"/>
        <v>2035</v>
      </c>
      <c r="X18" s="258">
        <f t="shared" si="0"/>
        <v>2036</v>
      </c>
    </row>
    <row r="19" spans="2:24" ht="15" x14ac:dyDescent="0.25">
      <c r="B19" s="153" t="s">
        <v>16</v>
      </c>
      <c r="C19" s="153"/>
      <c r="D19" s="153"/>
      <c r="E19" s="153"/>
      <c r="F19" s="153"/>
      <c r="G19" s="153"/>
      <c r="H19" s="153"/>
      <c r="I19" s="153"/>
      <c r="J19" s="153"/>
      <c r="K19" s="153"/>
      <c r="L19" s="153"/>
      <c r="M19" s="153"/>
      <c r="N19" s="153"/>
      <c r="O19" s="153"/>
      <c r="P19" s="153"/>
      <c r="Q19" s="153"/>
      <c r="R19" s="153"/>
      <c r="S19" s="153"/>
      <c r="T19" s="153"/>
      <c r="U19" s="153"/>
      <c r="V19" s="153"/>
      <c r="W19" s="153"/>
      <c r="X19" s="153"/>
    </row>
    <row r="20" spans="2:24" ht="28.5" x14ac:dyDescent="0.2">
      <c r="B20" s="234" t="s">
        <v>342</v>
      </c>
      <c r="C20" s="234" t="s">
        <v>493</v>
      </c>
      <c r="D20" s="97"/>
      <c r="E20" s="293">
        <f>'G &amp; S Initial'!C17</f>
        <v>12</v>
      </c>
      <c r="F20" s="314">
        <f t="shared" ref="F20:U22" si="1">$E20</f>
        <v>12</v>
      </c>
      <c r="G20" s="314">
        <f t="shared" ref="G20:X22" si="2">$E20</f>
        <v>12</v>
      </c>
      <c r="H20" s="314">
        <f t="shared" si="2"/>
        <v>12</v>
      </c>
      <c r="I20" s="314">
        <f t="shared" si="2"/>
        <v>12</v>
      </c>
      <c r="J20" s="314">
        <f t="shared" si="2"/>
        <v>12</v>
      </c>
      <c r="K20" s="314">
        <f t="shared" si="2"/>
        <v>12</v>
      </c>
      <c r="L20" s="314">
        <f t="shared" si="2"/>
        <v>12</v>
      </c>
      <c r="M20" s="314">
        <f t="shared" si="2"/>
        <v>12</v>
      </c>
      <c r="N20" s="314">
        <f t="shared" si="2"/>
        <v>12</v>
      </c>
      <c r="O20" s="314">
        <f t="shared" si="2"/>
        <v>12</v>
      </c>
      <c r="P20" s="314">
        <f t="shared" si="2"/>
        <v>12</v>
      </c>
      <c r="Q20" s="314">
        <f t="shared" si="2"/>
        <v>12</v>
      </c>
      <c r="R20" s="314">
        <f t="shared" si="2"/>
        <v>12</v>
      </c>
      <c r="S20" s="314">
        <f t="shared" si="2"/>
        <v>12</v>
      </c>
      <c r="T20" s="314">
        <f t="shared" si="2"/>
        <v>12</v>
      </c>
      <c r="U20" s="314">
        <f t="shared" si="2"/>
        <v>12</v>
      </c>
      <c r="V20" s="314">
        <f t="shared" si="2"/>
        <v>12</v>
      </c>
      <c r="W20" s="314">
        <f t="shared" si="2"/>
        <v>12</v>
      </c>
      <c r="X20" s="314">
        <f t="shared" si="2"/>
        <v>12</v>
      </c>
    </row>
    <row r="21" spans="2:24" ht="57" x14ac:dyDescent="0.2">
      <c r="B21" s="44" t="s">
        <v>504</v>
      </c>
      <c r="C21" s="234" t="str">
        <f>'G &amp; S Initial'!D18</f>
        <v>No. of bags sold wholesale (approx. 0.05m³) (Apr 2016 -17)</v>
      </c>
      <c r="D21" s="38"/>
      <c r="E21" s="293">
        <f>'G &amp; S Initial'!C18</f>
        <v>44</v>
      </c>
      <c r="F21" s="314">
        <f t="shared" si="1"/>
        <v>44</v>
      </c>
      <c r="G21" s="314">
        <f t="shared" si="2"/>
        <v>44</v>
      </c>
      <c r="H21" s="314">
        <f t="shared" si="2"/>
        <v>44</v>
      </c>
      <c r="I21" s="314">
        <f t="shared" si="2"/>
        <v>44</v>
      </c>
      <c r="J21" s="314">
        <f t="shared" si="2"/>
        <v>44</v>
      </c>
      <c r="K21" s="314">
        <f t="shared" si="2"/>
        <v>44</v>
      </c>
      <c r="L21" s="314">
        <f t="shared" si="2"/>
        <v>44</v>
      </c>
      <c r="M21" s="314">
        <f t="shared" si="2"/>
        <v>44</v>
      </c>
      <c r="N21" s="314">
        <f t="shared" si="2"/>
        <v>44</v>
      </c>
      <c r="O21" s="314">
        <f t="shared" si="2"/>
        <v>44</v>
      </c>
      <c r="P21" s="314">
        <f t="shared" si="2"/>
        <v>44</v>
      </c>
      <c r="Q21" s="314">
        <f t="shared" si="2"/>
        <v>44</v>
      </c>
      <c r="R21" s="314">
        <f t="shared" si="2"/>
        <v>44</v>
      </c>
      <c r="S21" s="314">
        <f t="shared" si="2"/>
        <v>44</v>
      </c>
      <c r="T21" s="314">
        <f t="shared" si="2"/>
        <v>44</v>
      </c>
      <c r="U21" s="314">
        <f t="shared" si="2"/>
        <v>44</v>
      </c>
      <c r="V21" s="314">
        <f t="shared" si="2"/>
        <v>44</v>
      </c>
      <c r="W21" s="314">
        <f t="shared" si="2"/>
        <v>44</v>
      </c>
      <c r="X21" s="314">
        <f t="shared" si="2"/>
        <v>44</v>
      </c>
    </row>
    <row r="22" spans="2:24" ht="57" x14ac:dyDescent="0.2">
      <c r="B22" s="44" t="s">
        <v>1139</v>
      </c>
      <c r="C22" s="234" t="str">
        <f>'G &amp; S Initial'!D19</f>
        <v>No. of bags sold retail (approx 0.05m³) (Apr 2016-17)</v>
      </c>
      <c r="D22" s="38"/>
      <c r="E22" s="293">
        <f>'G &amp; S Initial'!C19</f>
        <v>123</v>
      </c>
      <c r="F22" s="314">
        <f t="shared" si="1"/>
        <v>123</v>
      </c>
      <c r="G22" s="314">
        <f t="shared" si="1"/>
        <v>123</v>
      </c>
      <c r="H22" s="314">
        <f t="shared" si="1"/>
        <v>123</v>
      </c>
      <c r="I22" s="314">
        <f t="shared" si="1"/>
        <v>123</v>
      </c>
      <c r="J22" s="314">
        <f t="shared" si="1"/>
        <v>123</v>
      </c>
      <c r="K22" s="314">
        <f t="shared" si="1"/>
        <v>123</v>
      </c>
      <c r="L22" s="314">
        <f t="shared" si="1"/>
        <v>123</v>
      </c>
      <c r="M22" s="314">
        <f t="shared" si="1"/>
        <v>123</v>
      </c>
      <c r="N22" s="314">
        <f t="shared" si="1"/>
        <v>123</v>
      </c>
      <c r="O22" s="314">
        <f t="shared" si="1"/>
        <v>123</v>
      </c>
      <c r="P22" s="314">
        <f t="shared" si="1"/>
        <v>123</v>
      </c>
      <c r="Q22" s="314">
        <f t="shared" si="1"/>
        <v>123</v>
      </c>
      <c r="R22" s="314">
        <f t="shared" si="1"/>
        <v>123</v>
      </c>
      <c r="S22" s="314">
        <f t="shared" si="1"/>
        <v>123</v>
      </c>
      <c r="T22" s="314">
        <f t="shared" si="1"/>
        <v>123</v>
      </c>
      <c r="U22" s="314">
        <f t="shared" si="1"/>
        <v>123</v>
      </c>
      <c r="V22" s="314">
        <f t="shared" si="2"/>
        <v>123</v>
      </c>
      <c r="W22" s="314">
        <f t="shared" si="2"/>
        <v>123</v>
      </c>
      <c r="X22" s="314">
        <f t="shared" si="2"/>
        <v>123</v>
      </c>
    </row>
    <row r="23" spans="2:24" ht="57" x14ac:dyDescent="0.2">
      <c r="B23" s="44" t="s">
        <v>503</v>
      </c>
      <c r="C23" s="234" t="str">
        <f>'G &amp; S Initial'!D20</f>
        <v>No. of bags sold retail (approx 0.05m³)  (other stores Apr 2016 -17)</v>
      </c>
      <c r="D23" s="38" t="s">
        <v>1142</v>
      </c>
      <c r="E23" s="293">
        <f>'G &amp; S Initial'!C20</f>
        <v>42</v>
      </c>
      <c r="F23" s="732">
        <v>0</v>
      </c>
      <c r="G23" s="732">
        <v>0</v>
      </c>
      <c r="H23" s="732">
        <v>0</v>
      </c>
      <c r="I23" s="732">
        <v>0</v>
      </c>
      <c r="J23" s="732">
        <v>0</v>
      </c>
      <c r="K23" s="732">
        <v>0</v>
      </c>
      <c r="L23" s="732">
        <v>0</v>
      </c>
      <c r="M23" s="732">
        <v>0</v>
      </c>
      <c r="N23" s="732">
        <v>0</v>
      </c>
      <c r="O23" s="732">
        <v>0</v>
      </c>
      <c r="P23" s="732">
        <v>0</v>
      </c>
      <c r="Q23" s="732">
        <v>0</v>
      </c>
      <c r="R23" s="732">
        <v>0</v>
      </c>
      <c r="S23" s="732">
        <v>0</v>
      </c>
      <c r="T23" s="732">
        <v>0</v>
      </c>
      <c r="U23" s="732">
        <v>0</v>
      </c>
      <c r="V23" s="732">
        <v>0</v>
      </c>
      <c r="W23" s="732">
        <v>0</v>
      </c>
      <c r="X23" s="732">
        <v>0</v>
      </c>
    </row>
    <row r="24" spans="2:24" ht="57" x14ac:dyDescent="0.2">
      <c r="B24" s="44" t="s">
        <v>505</v>
      </c>
      <c r="C24" s="234" t="str">
        <f>'G &amp; S Initial'!D21</f>
        <v>No. of loose loads sold (approx. 1.2m³)  (Apr 2016 -17)</v>
      </c>
      <c r="D24" s="38" t="s">
        <v>1091</v>
      </c>
      <c r="E24" s="293">
        <f>'G &amp; S Initial'!C21</f>
        <v>4</v>
      </c>
      <c r="F24" s="314">
        <v>10</v>
      </c>
      <c r="G24" s="314">
        <v>10</v>
      </c>
      <c r="H24" s="314">
        <v>10</v>
      </c>
      <c r="I24" s="314">
        <v>10</v>
      </c>
      <c r="J24" s="314">
        <v>10</v>
      </c>
      <c r="K24" s="314">
        <v>10</v>
      </c>
      <c r="L24" s="314">
        <v>10</v>
      </c>
      <c r="M24" s="314">
        <v>10</v>
      </c>
      <c r="N24" s="314">
        <v>10</v>
      </c>
      <c r="O24" s="314">
        <v>10</v>
      </c>
      <c r="P24" s="314">
        <v>10</v>
      </c>
      <c r="Q24" s="314">
        <v>10</v>
      </c>
      <c r="R24" s="314">
        <v>10</v>
      </c>
      <c r="S24" s="314">
        <v>10</v>
      </c>
      <c r="T24" s="314">
        <v>10</v>
      </c>
      <c r="U24" s="314">
        <v>10</v>
      </c>
      <c r="V24" s="314">
        <v>10</v>
      </c>
      <c r="W24" s="314">
        <v>10</v>
      </c>
      <c r="X24" s="314">
        <v>10</v>
      </c>
    </row>
    <row r="25" spans="2:24" ht="42.75" x14ac:dyDescent="0.2">
      <c r="B25" s="44" t="s">
        <v>506</v>
      </c>
      <c r="C25" s="234" t="str">
        <f>'G &amp; S Initial'!D22</f>
        <v>No. of loose loads (approx 0.6m³)  (Apr 2016 -17)</v>
      </c>
      <c r="D25" s="38"/>
      <c r="E25" s="293">
        <f>'G &amp; S Initial'!C22</f>
        <v>1</v>
      </c>
      <c r="F25" s="314">
        <v>1</v>
      </c>
      <c r="G25" s="314">
        <v>1</v>
      </c>
      <c r="H25" s="314">
        <v>1</v>
      </c>
      <c r="I25" s="314">
        <v>1</v>
      </c>
      <c r="J25" s="314">
        <v>1</v>
      </c>
      <c r="K25" s="314">
        <v>1</v>
      </c>
      <c r="L25" s="314">
        <v>1</v>
      </c>
      <c r="M25" s="314">
        <v>1</v>
      </c>
      <c r="N25" s="314">
        <v>1</v>
      </c>
      <c r="O25" s="314">
        <v>1</v>
      </c>
      <c r="P25" s="314">
        <v>1</v>
      </c>
      <c r="Q25" s="314">
        <v>1</v>
      </c>
      <c r="R25" s="314">
        <v>1</v>
      </c>
      <c r="S25" s="314">
        <v>1</v>
      </c>
      <c r="T25" s="314">
        <v>1</v>
      </c>
      <c r="U25" s="314">
        <v>1</v>
      </c>
      <c r="V25" s="314">
        <v>1</v>
      </c>
      <c r="W25" s="314">
        <v>1</v>
      </c>
      <c r="X25" s="314">
        <v>1</v>
      </c>
    </row>
    <row r="26" spans="2:24" ht="42.75" x14ac:dyDescent="0.2">
      <c r="B26" s="44" t="s">
        <v>507</v>
      </c>
      <c r="C26" s="234" t="str">
        <f>'G &amp; S Initial'!D23</f>
        <v>No. of loose loads (approx 0.4m³)  (Apr 2016 -17)</v>
      </c>
      <c r="D26" s="38"/>
      <c r="E26" s="293">
        <f>'G &amp; S Initial'!C23</f>
        <v>2</v>
      </c>
      <c r="F26" s="314">
        <v>2</v>
      </c>
      <c r="G26" s="314">
        <v>2</v>
      </c>
      <c r="H26" s="314">
        <v>2</v>
      </c>
      <c r="I26" s="314">
        <v>2</v>
      </c>
      <c r="J26" s="314">
        <v>2</v>
      </c>
      <c r="K26" s="314">
        <v>2</v>
      </c>
      <c r="L26" s="314">
        <v>2</v>
      </c>
      <c r="M26" s="314">
        <v>2</v>
      </c>
      <c r="N26" s="314">
        <v>2</v>
      </c>
      <c r="O26" s="314">
        <v>2</v>
      </c>
      <c r="P26" s="314">
        <v>2</v>
      </c>
      <c r="Q26" s="314">
        <v>2</v>
      </c>
      <c r="R26" s="314">
        <v>2</v>
      </c>
      <c r="S26" s="314">
        <v>2</v>
      </c>
      <c r="T26" s="314">
        <v>2</v>
      </c>
      <c r="U26" s="314">
        <v>2</v>
      </c>
      <c r="V26" s="314">
        <v>2</v>
      </c>
      <c r="W26" s="314">
        <v>2</v>
      </c>
      <c r="X26" s="314">
        <v>2</v>
      </c>
    </row>
    <row r="27" spans="2:24" ht="42.75" x14ac:dyDescent="0.2">
      <c r="B27" s="44" t="s">
        <v>508</v>
      </c>
      <c r="C27" s="234" t="str">
        <f>'G &amp; S Initial'!D24</f>
        <v xml:space="preserve">No. of loose loads (approx 0.3m³) (Apr 2016 -17) </v>
      </c>
      <c r="D27" s="38"/>
      <c r="E27" s="293">
        <f>'G &amp; S Initial'!C24</f>
        <v>1</v>
      </c>
      <c r="F27" s="314">
        <v>1</v>
      </c>
      <c r="G27" s="314">
        <v>1</v>
      </c>
      <c r="H27" s="314">
        <v>1</v>
      </c>
      <c r="I27" s="314">
        <v>1</v>
      </c>
      <c r="J27" s="314">
        <v>1</v>
      </c>
      <c r="K27" s="314">
        <v>1</v>
      </c>
      <c r="L27" s="314">
        <v>1</v>
      </c>
      <c r="M27" s="314">
        <v>1</v>
      </c>
      <c r="N27" s="314">
        <v>1</v>
      </c>
      <c r="O27" s="314">
        <v>1</v>
      </c>
      <c r="P27" s="314">
        <v>1</v>
      </c>
      <c r="Q27" s="314">
        <v>1</v>
      </c>
      <c r="R27" s="314">
        <v>1</v>
      </c>
      <c r="S27" s="314">
        <v>1</v>
      </c>
      <c r="T27" s="314">
        <v>1</v>
      </c>
      <c r="U27" s="314">
        <v>1</v>
      </c>
      <c r="V27" s="314">
        <v>1</v>
      </c>
      <c r="W27" s="314">
        <v>1</v>
      </c>
      <c r="X27" s="314">
        <v>1</v>
      </c>
    </row>
    <row r="28" spans="2:24" ht="15" x14ac:dyDescent="0.2">
      <c r="B28" s="123" t="s">
        <v>51</v>
      </c>
      <c r="C28" s="123"/>
      <c r="D28" s="123"/>
      <c r="E28" s="294"/>
      <c r="F28" s="294"/>
      <c r="G28" s="294"/>
      <c r="H28" s="294"/>
      <c r="I28" s="294"/>
      <c r="J28" s="294"/>
      <c r="K28" s="294"/>
      <c r="L28" s="294"/>
      <c r="M28" s="294"/>
      <c r="N28" s="294"/>
      <c r="O28" s="294"/>
      <c r="P28" s="294"/>
      <c r="Q28" s="294"/>
      <c r="R28" s="294"/>
      <c r="S28" s="294"/>
      <c r="T28" s="294"/>
      <c r="U28" s="294"/>
      <c r="V28" s="294"/>
      <c r="W28" s="294"/>
      <c r="X28" s="294"/>
    </row>
    <row r="29" spans="2:24" ht="28.5" x14ac:dyDescent="0.2">
      <c r="B29" s="259" t="str">
        <f>'G &amp; S Initial'!B26</f>
        <v>Net carbon flux.</v>
      </c>
      <c r="C29" s="259" t="str">
        <f>'G &amp; S Initial'!D26</f>
        <v>tonnes of CO2 equivalent / yr</v>
      </c>
      <c r="D29" s="241"/>
      <c r="E29" s="885">
        <f>'G &amp; S Initial'!C26</f>
        <v>-704.13800000000003</v>
      </c>
      <c r="F29" s="886">
        <f t="shared" ref="F29:F33" si="3">$E29</f>
        <v>-704.13800000000003</v>
      </c>
      <c r="G29" s="886">
        <f t="shared" ref="G29:P33" si="4">$E29</f>
        <v>-704.13800000000003</v>
      </c>
      <c r="H29" s="886">
        <f t="shared" si="4"/>
        <v>-704.13800000000003</v>
      </c>
      <c r="I29" s="886">
        <f t="shared" si="4"/>
        <v>-704.13800000000003</v>
      </c>
      <c r="J29" s="886">
        <f t="shared" si="4"/>
        <v>-704.13800000000003</v>
      </c>
      <c r="K29" s="886">
        <f t="shared" si="4"/>
        <v>-704.13800000000003</v>
      </c>
      <c r="L29" s="886">
        <f t="shared" si="4"/>
        <v>-704.13800000000003</v>
      </c>
      <c r="M29" s="886">
        <f t="shared" si="4"/>
        <v>-704.13800000000003</v>
      </c>
      <c r="N29" s="886">
        <f t="shared" si="4"/>
        <v>-704.13800000000003</v>
      </c>
      <c r="O29" s="886">
        <f t="shared" si="4"/>
        <v>-704.13800000000003</v>
      </c>
      <c r="P29" s="886">
        <f t="shared" si="4"/>
        <v>-704.13800000000003</v>
      </c>
      <c r="Q29" s="886">
        <f t="shared" ref="Q29:X33" si="5">$E29</f>
        <v>-704.13800000000003</v>
      </c>
      <c r="R29" s="886">
        <f t="shared" si="5"/>
        <v>-704.13800000000003</v>
      </c>
      <c r="S29" s="886">
        <f t="shared" si="5"/>
        <v>-704.13800000000003</v>
      </c>
      <c r="T29" s="886">
        <f t="shared" si="5"/>
        <v>-704.13800000000003</v>
      </c>
      <c r="U29" s="886">
        <f t="shared" si="5"/>
        <v>-704.13800000000003</v>
      </c>
      <c r="V29" s="886">
        <f t="shared" si="5"/>
        <v>-704.13800000000003</v>
      </c>
      <c r="W29" s="886">
        <f t="shared" si="5"/>
        <v>-704.13800000000003</v>
      </c>
      <c r="X29" s="886">
        <f t="shared" si="5"/>
        <v>-704.13800000000003</v>
      </c>
    </row>
    <row r="30" spans="2:24" x14ac:dyDescent="0.2">
      <c r="B30" s="234">
        <f>'G &amp; S Initial'!B27</f>
        <v>0</v>
      </c>
      <c r="C30" s="234">
        <f>'G &amp; S Initial'!D27</f>
        <v>0</v>
      </c>
      <c r="D30" s="38"/>
      <c r="E30" s="293">
        <f>'G &amp; S Initial'!C27</f>
        <v>0</v>
      </c>
      <c r="F30" s="314">
        <f t="shared" si="3"/>
        <v>0</v>
      </c>
      <c r="G30" s="314">
        <f t="shared" si="4"/>
        <v>0</v>
      </c>
      <c r="H30" s="314">
        <f t="shared" si="4"/>
        <v>0</v>
      </c>
      <c r="I30" s="314">
        <f t="shared" si="4"/>
        <v>0</v>
      </c>
      <c r="J30" s="314">
        <f t="shared" si="4"/>
        <v>0</v>
      </c>
      <c r="K30" s="314">
        <f t="shared" si="4"/>
        <v>0</v>
      </c>
      <c r="L30" s="314">
        <f t="shared" si="4"/>
        <v>0</v>
      </c>
      <c r="M30" s="314">
        <f t="shared" si="4"/>
        <v>0</v>
      </c>
      <c r="N30" s="314">
        <f t="shared" si="4"/>
        <v>0</v>
      </c>
      <c r="O30" s="314">
        <f t="shared" si="4"/>
        <v>0</v>
      </c>
      <c r="P30" s="314">
        <f t="shared" si="4"/>
        <v>0</v>
      </c>
      <c r="Q30" s="314">
        <f t="shared" si="5"/>
        <v>0</v>
      </c>
      <c r="R30" s="314">
        <f t="shared" si="5"/>
        <v>0</v>
      </c>
      <c r="S30" s="314">
        <f t="shared" si="5"/>
        <v>0</v>
      </c>
      <c r="T30" s="314">
        <f t="shared" si="5"/>
        <v>0</v>
      </c>
      <c r="U30" s="314">
        <f t="shared" si="5"/>
        <v>0</v>
      </c>
      <c r="V30" s="314">
        <f t="shared" si="5"/>
        <v>0</v>
      </c>
      <c r="W30" s="314">
        <f t="shared" si="5"/>
        <v>0</v>
      </c>
      <c r="X30" s="314">
        <f t="shared" si="5"/>
        <v>0</v>
      </c>
    </row>
    <row r="31" spans="2:24" x14ac:dyDescent="0.2">
      <c r="B31" s="234">
        <f>'G &amp; S Initial'!B28</f>
        <v>0</v>
      </c>
      <c r="C31" s="234">
        <f>'G &amp; S Initial'!D28</f>
        <v>0</v>
      </c>
      <c r="D31" s="38"/>
      <c r="E31" s="293">
        <f>'G &amp; S Initial'!C28</f>
        <v>0</v>
      </c>
      <c r="F31" s="314">
        <f t="shared" si="3"/>
        <v>0</v>
      </c>
      <c r="G31" s="314">
        <f t="shared" si="4"/>
        <v>0</v>
      </c>
      <c r="H31" s="314">
        <f t="shared" si="4"/>
        <v>0</v>
      </c>
      <c r="I31" s="314">
        <f t="shared" si="4"/>
        <v>0</v>
      </c>
      <c r="J31" s="314">
        <f t="shared" si="4"/>
        <v>0</v>
      </c>
      <c r="K31" s="314">
        <f t="shared" si="4"/>
        <v>0</v>
      </c>
      <c r="L31" s="314">
        <f t="shared" si="4"/>
        <v>0</v>
      </c>
      <c r="M31" s="314">
        <f t="shared" si="4"/>
        <v>0</v>
      </c>
      <c r="N31" s="314">
        <f t="shared" si="4"/>
        <v>0</v>
      </c>
      <c r="O31" s="314">
        <f t="shared" si="4"/>
        <v>0</v>
      </c>
      <c r="P31" s="314">
        <f t="shared" si="4"/>
        <v>0</v>
      </c>
      <c r="Q31" s="314">
        <f t="shared" si="5"/>
        <v>0</v>
      </c>
      <c r="R31" s="314">
        <f t="shared" si="5"/>
        <v>0</v>
      </c>
      <c r="S31" s="314">
        <f t="shared" si="5"/>
        <v>0</v>
      </c>
      <c r="T31" s="314">
        <f t="shared" si="5"/>
        <v>0</v>
      </c>
      <c r="U31" s="314">
        <f t="shared" si="5"/>
        <v>0</v>
      </c>
      <c r="V31" s="314">
        <f t="shared" si="5"/>
        <v>0</v>
      </c>
      <c r="W31" s="314">
        <f t="shared" si="5"/>
        <v>0</v>
      </c>
      <c r="X31" s="314">
        <f t="shared" si="5"/>
        <v>0</v>
      </c>
    </row>
    <row r="32" spans="2:24" x14ac:dyDescent="0.2">
      <c r="B32" s="234">
        <f>'G &amp; S Initial'!B29</f>
        <v>0</v>
      </c>
      <c r="C32" s="234">
        <f>'G &amp; S Initial'!D29</f>
        <v>0</v>
      </c>
      <c r="D32" s="38"/>
      <c r="E32" s="293">
        <f>'G &amp; S Initial'!C29</f>
        <v>0</v>
      </c>
      <c r="F32" s="314">
        <f t="shared" si="3"/>
        <v>0</v>
      </c>
      <c r="G32" s="314">
        <f t="shared" si="4"/>
        <v>0</v>
      </c>
      <c r="H32" s="314">
        <f t="shared" si="4"/>
        <v>0</v>
      </c>
      <c r="I32" s="314">
        <f t="shared" si="4"/>
        <v>0</v>
      </c>
      <c r="J32" s="314">
        <f t="shared" si="4"/>
        <v>0</v>
      </c>
      <c r="K32" s="314">
        <f t="shared" si="4"/>
        <v>0</v>
      </c>
      <c r="L32" s="314">
        <f t="shared" si="4"/>
        <v>0</v>
      </c>
      <c r="M32" s="314">
        <f t="shared" si="4"/>
        <v>0</v>
      </c>
      <c r="N32" s="314">
        <f t="shared" si="4"/>
        <v>0</v>
      </c>
      <c r="O32" s="314">
        <f t="shared" si="4"/>
        <v>0</v>
      </c>
      <c r="P32" s="314">
        <f t="shared" si="4"/>
        <v>0</v>
      </c>
      <c r="Q32" s="314">
        <f t="shared" si="5"/>
        <v>0</v>
      </c>
      <c r="R32" s="314">
        <f t="shared" si="5"/>
        <v>0</v>
      </c>
      <c r="S32" s="314">
        <f t="shared" si="5"/>
        <v>0</v>
      </c>
      <c r="T32" s="314">
        <f t="shared" si="5"/>
        <v>0</v>
      </c>
      <c r="U32" s="314">
        <f t="shared" si="5"/>
        <v>0</v>
      </c>
      <c r="V32" s="314">
        <f t="shared" si="5"/>
        <v>0</v>
      </c>
      <c r="W32" s="314">
        <f t="shared" si="5"/>
        <v>0</v>
      </c>
      <c r="X32" s="314">
        <f t="shared" si="5"/>
        <v>0</v>
      </c>
    </row>
    <row r="33" spans="2:24" x14ac:dyDescent="0.2">
      <c r="B33" s="234">
        <f>'G &amp; S Initial'!B30</f>
        <v>0</v>
      </c>
      <c r="C33" s="234">
        <f>'G &amp; S Initial'!D30</f>
        <v>0</v>
      </c>
      <c r="D33" s="38"/>
      <c r="E33" s="293">
        <f>'G &amp; S Initial'!C30</f>
        <v>0</v>
      </c>
      <c r="F33" s="314">
        <f t="shared" si="3"/>
        <v>0</v>
      </c>
      <c r="G33" s="314">
        <f t="shared" si="4"/>
        <v>0</v>
      </c>
      <c r="H33" s="314">
        <f t="shared" si="4"/>
        <v>0</v>
      </c>
      <c r="I33" s="314">
        <f t="shared" si="4"/>
        <v>0</v>
      </c>
      <c r="J33" s="314">
        <f t="shared" si="4"/>
        <v>0</v>
      </c>
      <c r="K33" s="314">
        <f t="shared" si="4"/>
        <v>0</v>
      </c>
      <c r="L33" s="314">
        <f t="shared" si="4"/>
        <v>0</v>
      </c>
      <c r="M33" s="314">
        <f t="shared" si="4"/>
        <v>0</v>
      </c>
      <c r="N33" s="314">
        <f t="shared" si="4"/>
        <v>0</v>
      </c>
      <c r="O33" s="314">
        <f t="shared" si="4"/>
        <v>0</v>
      </c>
      <c r="P33" s="314">
        <f t="shared" si="4"/>
        <v>0</v>
      </c>
      <c r="Q33" s="314">
        <f t="shared" si="5"/>
        <v>0</v>
      </c>
      <c r="R33" s="314">
        <f t="shared" si="5"/>
        <v>0</v>
      </c>
      <c r="S33" s="314">
        <f t="shared" si="5"/>
        <v>0</v>
      </c>
      <c r="T33" s="314">
        <f t="shared" si="5"/>
        <v>0</v>
      </c>
      <c r="U33" s="314">
        <f t="shared" si="5"/>
        <v>0</v>
      </c>
      <c r="V33" s="314">
        <f t="shared" si="5"/>
        <v>0</v>
      </c>
      <c r="W33" s="314">
        <f t="shared" si="5"/>
        <v>0</v>
      </c>
      <c r="X33" s="314">
        <f t="shared" si="5"/>
        <v>0</v>
      </c>
    </row>
    <row r="34" spans="2:24" ht="15" x14ac:dyDescent="0.2">
      <c r="B34" s="125" t="s">
        <v>185</v>
      </c>
      <c r="C34" s="125"/>
      <c r="D34" s="125"/>
      <c r="E34" s="295"/>
      <c r="F34" s="295"/>
      <c r="G34" s="295"/>
      <c r="H34" s="295"/>
      <c r="I34" s="295"/>
      <c r="J34" s="295"/>
      <c r="K34" s="295"/>
      <c r="L34" s="295"/>
      <c r="M34" s="295"/>
      <c r="N34" s="295"/>
      <c r="O34" s="295"/>
      <c r="P34" s="295"/>
      <c r="Q34" s="295"/>
      <c r="R34" s="295"/>
      <c r="S34" s="295"/>
      <c r="T34" s="295"/>
      <c r="U34" s="295"/>
      <c r="V34" s="295"/>
      <c r="W34" s="295"/>
      <c r="X34" s="295"/>
    </row>
    <row r="35" spans="2:24" x14ac:dyDescent="0.2">
      <c r="B35" s="259" t="str">
        <f>'G &amp; S Initial'!B32</f>
        <v>Recreational visits.</v>
      </c>
      <c r="C35" s="259" t="str">
        <f>'G &amp; S Initial'!D32</f>
        <v>No. visits / yr</v>
      </c>
      <c r="D35" s="38"/>
      <c r="E35" s="296">
        <f>'G &amp; S Initial'!C32</f>
        <v>80000</v>
      </c>
      <c r="F35" s="305">
        <f t="shared" ref="F35" si="6">$E35</f>
        <v>80000</v>
      </c>
      <c r="G35" s="305">
        <f t="shared" ref="G35:I36" si="7">$E35</f>
        <v>80000</v>
      </c>
      <c r="H35" s="305">
        <f t="shared" si="7"/>
        <v>80000</v>
      </c>
      <c r="I35" s="305">
        <f t="shared" si="7"/>
        <v>80000</v>
      </c>
      <c r="J35" s="305">
        <f t="shared" ref="J35:X35" si="8">$E35</f>
        <v>80000</v>
      </c>
      <c r="K35" s="305">
        <f t="shared" si="8"/>
        <v>80000</v>
      </c>
      <c r="L35" s="305">
        <f t="shared" si="8"/>
        <v>80000</v>
      </c>
      <c r="M35" s="305">
        <f t="shared" si="8"/>
        <v>80000</v>
      </c>
      <c r="N35" s="305">
        <f t="shared" si="8"/>
        <v>80000</v>
      </c>
      <c r="O35" s="305">
        <f t="shared" si="8"/>
        <v>80000</v>
      </c>
      <c r="P35" s="305">
        <f t="shared" si="8"/>
        <v>80000</v>
      </c>
      <c r="Q35" s="305">
        <f t="shared" si="8"/>
        <v>80000</v>
      </c>
      <c r="R35" s="305">
        <f t="shared" si="8"/>
        <v>80000</v>
      </c>
      <c r="S35" s="305">
        <f t="shared" si="8"/>
        <v>80000</v>
      </c>
      <c r="T35" s="305">
        <f t="shared" si="8"/>
        <v>80000</v>
      </c>
      <c r="U35" s="305">
        <f t="shared" si="8"/>
        <v>80000</v>
      </c>
      <c r="V35" s="305">
        <f t="shared" si="8"/>
        <v>80000</v>
      </c>
      <c r="W35" s="305">
        <f t="shared" si="8"/>
        <v>80000</v>
      </c>
      <c r="X35" s="305">
        <f t="shared" si="8"/>
        <v>80000</v>
      </c>
    </row>
    <row r="36" spans="2:24" ht="28.5" x14ac:dyDescent="0.2">
      <c r="B36" s="260" t="str">
        <f>'G &amp; S Initial'!B33</f>
        <v xml:space="preserve">Educational visits by school pupils that have educational input from NNR staff or volunteers. </v>
      </c>
      <c r="C36" s="260" t="str">
        <f>'G &amp; S Initial'!D33</f>
        <v>No. visits / yr</v>
      </c>
      <c r="D36" s="239"/>
      <c r="E36" s="297">
        <f>'G &amp; S Initial'!C33</f>
        <v>726</v>
      </c>
      <c r="F36" s="306">
        <f t="shared" ref="F36:U51" si="9">$E36</f>
        <v>726</v>
      </c>
      <c r="G36" s="306">
        <f t="shared" si="7"/>
        <v>726</v>
      </c>
      <c r="H36" s="306">
        <f t="shared" si="7"/>
        <v>726</v>
      </c>
      <c r="I36" s="306">
        <f t="shared" si="7"/>
        <v>726</v>
      </c>
      <c r="J36" s="306">
        <f t="shared" ref="J36:X36" si="10">$E36</f>
        <v>726</v>
      </c>
      <c r="K36" s="306">
        <f t="shared" si="10"/>
        <v>726</v>
      </c>
      <c r="L36" s="306">
        <f t="shared" si="10"/>
        <v>726</v>
      </c>
      <c r="M36" s="306">
        <f t="shared" si="10"/>
        <v>726</v>
      </c>
      <c r="N36" s="306">
        <f t="shared" si="10"/>
        <v>726</v>
      </c>
      <c r="O36" s="306">
        <f t="shared" si="10"/>
        <v>726</v>
      </c>
      <c r="P36" s="306">
        <f t="shared" si="10"/>
        <v>726</v>
      </c>
      <c r="Q36" s="306">
        <f t="shared" si="10"/>
        <v>726</v>
      </c>
      <c r="R36" s="306">
        <f t="shared" si="10"/>
        <v>726</v>
      </c>
      <c r="S36" s="306">
        <f t="shared" si="10"/>
        <v>726</v>
      </c>
      <c r="T36" s="306">
        <f t="shared" si="10"/>
        <v>726</v>
      </c>
      <c r="U36" s="306">
        <f t="shared" si="10"/>
        <v>726</v>
      </c>
      <c r="V36" s="306">
        <f t="shared" si="10"/>
        <v>726</v>
      </c>
      <c r="W36" s="306">
        <f t="shared" si="10"/>
        <v>726</v>
      </c>
      <c r="X36" s="306">
        <f t="shared" si="10"/>
        <v>726</v>
      </c>
    </row>
    <row r="37" spans="2:24" ht="28.5" x14ac:dyDescent="0.2">
      <c r="B37" s="261" t="str">
        <f>'G &amp; S Initial'!B34</f>
        <v>Educational visits by school pupils with no educational input from NNR staff or NNR volunteers.</v>
      </c>
      <c r="C37" s="261" t="str">
        <f>'G &amp; S Initial'!D34</f>
        <v>No. visits / yr</v>
      </c>
      <c r="D37" s="240"/>
      <c r="E37" s="298">
        <f>'G &amp; S Initial'!C34</f>
        <v>0</v>
      </c>
      <c r="F37" s="307">
        <f t="shared" si="9"/>
        <v>0</v>
      </c>
      <c r="G37" s="307">
        <f t="shared" si="9"/>
        <v>0</v>
      </c>
      <c r="H37" s="307">
        <f t="shared" si="9"/>
        <v>0</v>
      </c>
      <c r="I37" s="307">
        <f t="shared" si="9"/>
        <v>0</v>
      </c>
      <c r="J37" s="307">
        <f t="shared" si="9"/>
        <v>0</v>
      </c>
      <c r="K37" s="307">
        <f t="shared" si="9"/>
        <v>0</v>
      </c>
      <c r="L37" s="307">
        <f t="shared" si="9"/>
        <v>0</v>
      </c>
      <c r="M37" s="307">
        <f t="shared" si="9"/>
        <v>0</v>
      </c>
      <c r="N37" s="307">
        <f t="shared" si="9"/>
        <v>0</v>
      </c>
      <c r="O37" s="307">
        <f t="shared" si="9"/>
        <v>0</v>
      </c>
      <c r="P37" s="307">
        <f t="shared" si="9"/>
        <v>0</v>
      </c>
      <c r="Q37" s="307">
        <f t="shared" si="9"/>
        <v>0</v>
      </c>
      <c r="R37" s="307">
        <f t="shared" si="9"/>
        <v>0</v>
      </c>
      <c r="S37" s="307">
        <f t="shared" si="9"/>
        <v>0</v>
      </c>
      <c r="T37" s="307">
        <f t="shared" si="9"/>
        <v>0</v>
      </c>
      <c r="U37" s="307">
        <f t="shared" si="9"/>
        <v>0</v>
      </c>
      <c r="V37" s="307">
        <f t="shared" ref="J37:X51" si="11">$E37</f>
        <v>0</v>
      </c>
      <c r="W37" s="307">
        <f t="shared" si="11"/>
        <v>0</v>
      </c>
      <c r="X37" s="307">
        <f t="shared" si="11"/>
        <v>0</v>
      </c>
    </row>
    <row r="38" spans="2:24" ht="42.75" x14ac:dyDescent="0.2">
      <c r="B38" s="260" t="str">
        <f>'G &amp; S Initial'!B35</f>
        <v>Educational visits by students (in education beyond secondary / high school) that have educational input from NNR staff or volunteers.</v>
      </c>
      <c r="C38" s="260" t="str">
        <f>'G &amp; S Initial'!D35</f>
        <v>No. visits / yr</v>
      </c>
      <c r="D38" s="235"/>
      <c r="E38" s="297">
        <f>'G &amp; S Initial'!C35</f>
        <v>0</v>
      </c>
      <c r="F38" s="306">
        <f t="shared" si="9"/>
        <v>0</v>
      </c>
      <c r="G38" s="306">
        <f t="shared" si="9"/>
        <v>0</v>
      </c>
      <c r="H38" s="306">
        <f t="shared" si="9"/>
        <v>0</v>
      </c>
      <c r="I38" s="306">
        <f t="shared" si="9"/>
        <v>0</v>
      </c>
      <c r="J38" s="306">
        <f t="shared" si="11"/>
        <v>0</v>
      </c>
      <c r="K38" s="306">
        <f t="shared" si="11"/>
        <v>0</v>
      </c>
      <c r="L38" s="306">
        <f t="shared" si="11"/>
        <v>0</v>
      </c>
      <c r="M38" s="306">
        <f t="shared" si="11"/>
        <v>0</v>
      </c>
      <c r="N38" s="306">
        <f t="shared" si="11"/>
        <v>0</v>
      </c>
      <c r="O38" s="306">
        <f t="shared" si="11"/>
        <v>0</v>
      </c>
      <c r="P38" s="306">
        <f t="shared" si="11"/>
        <v>0</v>
      </c>
      <c r="Q38" s="306">
        <f t="shared" si="11"/>
        <v>0</v>
      </c>
      <c r="R38" s="306">
        <f t="shared" si="11"/>
        <v>0</v>
      </c>
      <c r="S38" s="306">
        <f t="shared" si="11"/>
        <v>0</v>
      </c>
      <c r="T38" s="306">
        <f t="shared" si="11"/>
        <v>0</v>
      </c>
      <c r="U38" s="306">
        <f t="shared" si="11"/>
        <v>0</v>
      </c>
      <c r="V38" s="306">
        <f t="shared" si="11"/>
        <v>0</v>
      </c>
      <c r="W38" s="306">
        <f t="shared" si="11"/>
        <v>0</v>
      </c>
      <c r="X38" s="306">
        <f t="shared" si="11"/>
        <v>0</v>
      </c>
    </row>
    <row r="39" spans="2:24" ht="42.75" x14ac:dyDescent="0.2">
      <c r="B39" s="261" t="str">
        <f>'G &amp; S Initial'!B36</f>
        <v>Educational visits by students (beyond secondary / high school) with no educational input from NNR staff or NNR volunteers.</v>
      </c>
      <c r="C39" s="261" t="str">
        <f>'G &amp; S Initial'!D36</f>
        <v>No. visits / yr</v>
      </c>
      <c r="D39" s="237"/>
      <c r="E39" s="299">
        <f>'G &amp; S Initial'!C36</f>
        <v>0</v>
      </c>
      <c r="F39" s="307">
        <f t="shared" si="9"/>
        <v>0</v>
      </c>
      <c r="G39" s="307">
        <f t="shared" si="9"/>
        <v>0</v>
      </c>
      <c r="H39" s="307">
        <f t="shared" si="9"/>
        <v>0</v>
      </c>
      <c r="I39" s="307">
        <f t="shared" si="9"/>
        <v>0</v>
      </c>
      <c r="J39" s="307">
        <f t="shared" si="11"/>
        <v>0</v>
      </c>
      <c r="K39" s="307">
        <f t="shared" si="11"/>
        <v>0</v>
      </c>
      <c r="L39" s="307">
        <f t="shared" si="11"/>
        <v>0</v>
      </c>
      <c r="M39" s="307">
        <f t="shared" si="11"/>
        <v>0</v>
      </c>
      <c r="N39" s="307">
        <f t="shared" si="11"/>
        <v>0</v>
      </c>
      <c r="O39" s="307">
        <f t="shared" si="11"/>
        <v>0</v>
      </c>
      <c r="P39" s="307">
        <f t="shared" si="11"/>
        <v>0</v>
      </c>
      <c r="Q39" s="307">
        <f t="shared" si="11"/>
        <v>0</v>
      </c>
      <c r="R39" s="307">
        <f t="shared" si="11"/>
        <v>0</v>
      </c>
      <c r="S39" s="307">
        <f t="shared" si="11"/>
        <v>0</v>
      </c>
      <c r="T39" s="307">
        <f t="shared" si="11"/>
        <v>0</v>
      </c>
      <c r="U39" s="307">
        <f t="shared" si="11"/>
        <v>0</v>
      </c>
      <c r="V39" s="307">
        <f t="shared" si="11"/>
        <v>0</v>
      </c>
      <c r="W39" s="307">
        <f t="shared" si="11"/>
        <v>0</v>
      </c>
      <c r="X39" s="307">
        <f t="shared" si="11"/>
        <v>0</v>
      </c>
    </row>
    <row r="40" spans="2:24" ht="42.75" x14ac:dyDescent="0.2">
      <c r="B40" s="260" t="str">
        <f>'G &amp; S Initial'!B37</f>
        <v>Educational visits by the public (e.g. guided walks for the public, scouts, local interest groups) that have educational input by NNR staff or volunteers.</v>
      </c>
      <c r="C40" s="260" t="str">
        <f>'G &amp; S Initial'!D37</f>
        <v>No. visits / yr</v>
      </c>
      <c r="D40" s="238"/>
      <c r="E40" s="300">
        <f>'G &amp; S Initial'!C37</f>
        <v>1300</v>
      </c>
      <c r="F40" s="306">
        <f t="shared" si="9"/>
        <v>1300</v>
      </c>
      <c r="G40" s="306">
        <f t="shared" si="9"/>
        <v>1300</v>
      </c>
      <c r="H40" s="306">
        <f t="shared" si="9"/>
        <v>1300</v>
      </c>
      <c r="I40" s="306">
        <f t="shared" si="9"/>
        <v>1300</v>
      </c>
      <c r="J40" s="306">
        <f t="shared" si="11"/>
        <v>1300</v>
      </c>
      <c r="K40" s="306">
        <f t="shared" si="11"/>
        <v>1300</v>
      </c>
      <c r="L40" s="306">
        <f t="shared" si="11"/>
        <v>1300</v>
      </c>
      <c r="M40" s="306">
        <f t="shared" si="11"/>
        <v>1300</v>
      </c>
      <c r="N40" s="306">
        <f t="shared" si="11"/>
        <v>1300</v>
      </c>
      <c r="O40" s="306">
        <f t="shared" si="11"/>
        <v>1300</v>
      </c>
      <c r="P40" s="306">
        <f t="shared" si="11"/>
        <v>1300</v>
      </c>
      <c r="Q40" s="306">
        <f t="shared" si="11"/>
        <v>1300</v>
      </c>
      <c r="R40" s="306">
        <f t="shared" si="11"/>
        <v>1300</v>
      </c>
      <c r="S40" s="306">
        <f t="shared" si="11"/>
        <v>1300</v>
      </c>
      <c r="T40" s="306">
        <f t="shared" si="11"/>
        <v>1300</v>
      </c>
      <c r="U40" s="306">
        <f t="shared" si="11"/>
        <v>1300</v>
      </c>
      <c r="V40" s="306">
        <f t="shared" si="11"/>
        <v>1300</v>
      </c>
      <c r="W40" s="306">
        <f t="shared" si="11"/>
        <v>1300</v>
      </c>
      <c r="X40" s="306">
        <f t="shared" si="11"/>
        <v>1300</v>
      </c>
    </row>
    <row r="41" spans="2:24" ht="28.5" x14ac:dyDescent="0.2">
      <c r="B41" s="261" t="str">
        <f>'G &amp; S Initial'!B38</f>
        <v>Educational visits by groups of the public that have no educational input by NNR staff or NNR volunteers.</v>
      </c>
      <c r="C41" s="261" t="str">
        <f>'G &amp; S Initial'!D38</f>
        <v>No. visits / yr</v>
      </c>
      <c r="D41" s="237"/>
      <c r="E41" s="299">
        <f>'G &amp; S Initial'!C38</f>
        <v>0</v>
      </c>
      <c r="F41" s="307">
        <f t="shared" si="9"/>
        <v>0</v>
      </c>
      <c r="G41" s="307">
        <f t="shared" si="9"/>
        <v>0</v>
      </c>
      <c r="H41" s="307">
        <f t="shared" si="9"/>
        <v>0</v>
      </c>
      <c r="I41" s="307">
        <f t="shared" si="9"/>
        <v>0</v>
      </c>
      <c r="J41" s="307">
        <f t="shared" si="11"/>
        <v>0</v>
      </c>
      <c r="K41" s="307">
        <f t="shared" si="11"/>
        <v>0</v>
      </c>
      <c r="L41" s="307">
        <f t="shared" si="11"/>
        <v>0</v>
      </c>
      <c r="M41" s="307">
        <f t="shared" si="11"/>
        <v>0</v>
      </c>
      <c r="N41" s="307">
        <f t="shared" si="11"/>
        <v>0</v>
      </c>
      <c r="O41" s="307">
        <f t="shared" si="11"/>
        <v>0</v>
      </c>
      <c r="P41" s="307">
        <f t="shared" si="11"/>
        <v>0</v>
      </c>
      <c r="Q41" s="307">
        <f t="shared" si="11"/>
        <v>0</v>
      </c>
      <c r="R41" s="307">
        <f t="shared" si="11"/>
        <v>0</v>
      </c>
      <c r="S41" s="307">
        <f t="shared" si="11"/>
        <v>0</v>
      </c>
      <c r="T41" s="307">
        <f t="shared" si="11"/>
        <v>0</v>
      </c>
      <c r="U41" s="307">
        <f t="shared" si="11"/>
        <v>0</v>
      </c>
      <c r="V41" s="307">
        <f t="shared" si="11"/>
        <v>0</v>
      </c>
      <c r="W41" s="307">
        <f t="shared" si="11"/>
        <v>0</v>
      </c>
      <c r="X41" s="307">
        <f t="shared" si="11"/>
        <v>0</v>
      </c>
    </row>
    <row r="42" spans="2:24" ht="28.5" x14ac:dyDescent="0.2">
      <c r="B42" s="259" t="str">
        <f>'G &amp; S Initial'!B39</f>
        <v>Participants in community events (that have little or no educational content).</v>
      </c>
      <c r="C42" s="259" t="str">
        <f>'G &amp; S Initial'!D39</f>
        <v>No. people / yr</v>
      </c>
      <c r="D42" s="97"/>
      <c r="E42" s="301">
        <f>'G &amp; S Initial'!C39</f>
        <v>0</v>
      </c>
      <c r="F42" s="305">
        <f t="shared" si="9"/>
        <v>0</v>
      </c>
      <c r="G42" s="305">
        <f t="shared" si="9"/>
        <v>0</v>
      </c>
      <c r="H42" s="305">
        <f t="shared" si="9"/>
        <v>0</v>
      </c>
      <c r="I42" s="305">
        <f t="shared" si="9"/>
        <v>0</v>
      </c>
      <c r="J42" s="305">
        <f t="shared" si="11"/>
        <v>0</v>
      </c>
      <c r="K42" s="305">
        <f t="shared" si="11"/>
        <v>0</v>
      </c>
      <c r="L42" s="305">
        <f t="shared" si="11"/>
        <v>0</v>
      </c>
      <c r="M42" s="305">
        <f t="shared" si="11"/>
        <v>0</v>
      </c>
      <c r="N42" s="305">
        <f t="shared" si="11"/>
        <v>0</v>
      </c>
      <c r="O42" s="305">
        <f t="shared" si="11"/>
        <v>0</v>
      </c>
      <c r="P42" s="305">
        <f t="shared" si="11"/>
        <v>0</v>
      </c>
      <c r="Q42" s="305">
        <f t="shared" si="11"/>
        <v>0</v>
      </c>
      <c r="R42" s="305">
        <f t="shared" si="11"/>
        <v>0</v>
      </c>
      <c r="S42" s="305">
        <f t="shared" si="11"/>
        <v>0</v>
      </c>
      <c r="T42" s="305">
        <f t="shared" si="11"/>
        <v>0</v>
      </c>
      <c r="U42" s="305">
        <f t="shared" si="11"/>
        <v>0</v>
      </c>
      <c r="V42" s="305">
        <f t="shared" si="11"/>
        <v>0</v>
      </c>
      <c r="W42" s="305">
        <f t="shared" si="11"/>
        <v>0</v>
      </c>
      <c r="X42" s="305">
        <f t="shared" si="11"/>
        <v>0</v>
      </c>
    </row>
    <row r="43" spans="2:24" ht="28.5" x14ac:dyDescent="0.2">
      <c r="B43" s="262" t="str">
        <f>'G &amp; S Initial'!B40</f>
        <v>People (excluding staff) given training in working on an NNR (including training given as part of work experience).</v>
      </c>
      <c r="C43" s="262" t="str">
        <f>'G &amp; S Initial'!D40</f>
        <v>No. people / yr</v>
      </c>
      <c r="D43" s="236"/>
      <c r="E43" s="302">
        <f>'G &amp; S Initial'!C40</f>
        <v>63</v>
      </c>
      <c r="F43" s="308">
        <f t="shared" si="9"/>
        <v>63</v>
      </c>
      <c r="G43" s="308">
        <f t="shared" si="9"/>
        <v>63</v>
      </c>
      <c r="H43" s="308">
        <f t="shared" si="9"/>
        <v>63</v>
      </c>
      <c r="I43" s="308">
        <f t="shared" si="9"/>
        <v>63</v>
      </c>
      <c r="J43" s="308">
        <f t="shared" si="11"/>
        <v>63</v>
      </c>
      <c r="K43" s="308">
        <f t="shared" si="11"/>
        <v>63</v>
      </c>
      <c r="L43" s="308">
        <f t="shared" si="11"/>
        <v>63</v>
      </c>
      <c r="M43" s="308">
        <f t="shared" si="11"/>
        <v>63</v>
      </c>
      <c r="N43" s="308">
        <f t="shared" si="11"/>
        <v>63</v>
      </c>
      <c r="O43" s="308">
        <f t="shared" si="11"/>
        <v>63</v>
      </c>
      <c r="P43" s="308">
        <f t="shared" si="11"/>
        <v>63</v>
      </c>
      <c r="Q43" s="308">
        <f t="shared" si="11"/>
        <v>63</v>
      </c>
      <c r="R43" s="308">
        <f t="shared" si="11"/>
        <v>63</v>
      </c>
      <c r="S43" s="308">
        <f t="shared" si="11"/>
        <v>63</v>
      </c>
      <c r="T43" s="308">
        <f t="shared" si="11"/>
        <v>63</v>
      </c>
      <c r="U43" s="308">
        <f t="shared" si="11"/>
        <v>63</v>
      </c>
      <c r="V43" s="308">
        <f t="shared" si="11"/>
        <v>63</v>
      </c>
      <c r="W43" s="308">
        <f t="shared" si="11"/>
        <v>63</v>
      </c>
      <c r="X43" s="308">
        <f t="shared" si="11"/>
        <v>63</v>
      </c>
    </row>
    <row r="44" spans="2:24" ht="57" x14ac:dyDescent="0.2">
      <c r="B44" s="259" t="str">
        <f>'G &amp; S Initial'!B41</f>
        <v>Research projects. Includes research conducted by others (students, researchers, citizens, colleagues, long term monitoring network) and other research that NNR staff and volunteers contribute towards.</v>
      </c>
      <c r="C44" s="259" t="str">
        <f>'G &amp; S Initial'!D41</f>
        <v>No. projects</v>
      </c>
      <c r="D44" s="38"/>
      <c r="E44" s="293">
        <f>'G &amp; S Initial'!C41</f>
        <v>3</v>
      </c>
      <c r="F44" s="305">
        <f t="shared" si="9"/>
        <v>3</v>
      </c>
      <c r="G44" s="305">
        <f t="shared" si="9"/>
        <v>3</v>
      </c>
      <c r="H44" s="305">
        <f t="shared" si="9"/>
        <v>3</v>
      </c>
      <c r="I44" s="305">
        <f t="shared" si="9"/>
        <v>3</v>
      </c>
      <c r="J44" s="305">
        <f t="shared" si="11"/>
        <v>3</v>
      </c>
      <c r="K44" s="305">
        <f t="shared" si="11"/>
        <v>3</v>
      </c>
      <c r="L44" s="305">
        <f t="shared" si="11"/>
        <v>3</v>
      </c>
      <c r="M44" s="305">
        <f t="shared" si="11"/>
        <v>3</v>
      </c>
      <c r="N44" s="305">
        <f t="shared" si="11"/>
        <v>3</v>
      </c>
      <c r="O44" s="305">
        <f t="shared" si="11"/>
        <v>3</v>
      </c>
      <c r="P44" s="305">
        <f t="shared" si="11"/>
        <v>3</v>
      </c>
      <c r="Q44" s="305">
        <f t="shared" si="11"/>
        <v>3</v>
      </c>
      <c r="R44" s="305">
        <f t="shared" si="11"/>
        <v>3</v>
      </c>
      <c r="S44" s="305">
        <f t="shared" si="11"/>
        <v>3</v>
      </c>
      <c r="T44" s="305">
        <f t="shared" si="11"/>
        <v>3</v>
      </c>
      <c r="U44" s="305">
        <f t="shared" si="11"/>
        <v>3</v>
      </c>
      <c r="V44" s="305">
        <f t="shared" si="11"/>
        <v>3</v>
      </c>
      <c r="W44" s="305">
        <f t="shared" si="11"/>
        <v>3</v>
      </c>
      <c r="X44" s="305">
        <f t="shared" si="11"/>
        <v>3</v>
      </c>
    </row>
    <row r="45" spans="2:24" ht="28.5" x14ac:dyDescent="0.2">
      <c r="B45" s="262" t="str">
        <f>'G &amp; S Initial'!B42</f>
        <v>Engagement with people through social media (as measured through Facebook and Blog statistics etc).</v>
      </c>
      <c r="C45" s="262" t="str">
        <f>'G &amp; S Initial'!D42</f>
        <v>No. engagements / yr</v>
      </c>
      <c r="D45" s="232"/>
      <c r="E45" s="303">
        <f>'G &amp; S Initial'!C42</f>
        <v>0</v>
      </c>
      <c r="F45" s="308">
        <f t="shared" si="9"/>
        <v>0</v>
      </c>
      <c r="G45" s="308">
        <f t="shared" si="9"/>
        <v>0</v>
      </c>
      <c r="H45" s="308">
        <f t="shared" si="9"/>
        <v>0</v>
      </c>
      <c r="I45" s="308">
        <f t="shared" si="9"/>
        <v>0</v>
      </c>
      <c r="J45" s="308">
        <f t="shared" si="11"/>
        <v>0</v>
      </c>
      <c r="K45" s="308">
        <f t="shared" si="11"/>
        <v>0</v>
      </c>
      <c r="L45" s="308">
        <f t="shared" si="11"/>
        <v>0</v>
      </c>
      <c r="M45" s="308">
        <f t="shared" si="11"/>
        <v>0</v>
      </c>
      <c r="N45" s="308">
        <f t="shared" si="11"/>
        <v>0</v>
      </c>
      <c r="O45" s="308">
        <f t="shared" si="11"/>
        <v>0</v>
      </c>
      <c r="P45" s="308">
        <f t="shared" si="11"/>
        <v>0</v>
      </c>
      <c r="Q45" s="308">
        <f t="shared" si="11"/>
        <v>0</v>
      </c>
      <c r="R45" s="308">
        <f t="shared" si="11"/>
        <v>0</v>
      </c>
      <c r="S45" s="308">
        <f t="shared" si="11"/>
        <v>0</v>
      </c>
      <c r="T45" s="308">
        <f t="shared" si="11"/>
        <v>0</v>
      </c>
      <c r="U45" s="308">
        <f t="shared" si="11"/>
        <v>0</v>
      </c>
      <c r="V45" s="308">
        <f t="shared" si="11"/>
        <v>0</v>
      </c>
      <c r="W45" s="308">
        <f t="shared" si="11"/>
        <v>0</v>
      </c>
      <c r="X45" s="308">
        <f t="shared" si="11"/>
        <v>0</v>
      </c>
    </row>
    <row r="46" spans="2:24" ht="28.5" x14ac:dyDescent="0.2">
      <c r="B46" s="754" t="str">
        <f>'G &amp; S Initial'!B43</f>
        <v xml:space="preserve">Field Studies Council Guide on Shapwick Heath sold via us here at Shapwick. </v>
      </c>
      <c r="C46" s="754" t="str">
        <f>'G &amp; S Initial'!D43</f>
        <v>Number of guides sold whole sale</v>
      </c>
      <c r="D46" s="755"/>
      <c r="E46" s="756">
        <f>'G &amp; S Initial'!C43</f>
        <v>54</v>
      </c>
      <c r="F46" s="308">
        <f t="shared" si="9"/>
        <v>54</v>
      </c>
      <c r="G46" s="308">
        <f t="shared" si="9"/>
        <v>54</v>
      </c>
      <c r="H46" s="308">
        <f t="shared" si="9"/>
        <v>54</v>
      </c>
      <c r="I46" s="308">
        <f t="shared" si="9"/>
        <v>54</v>
      </c>
      <c r="J46" s="308">
        <f t="shared" si="11"/>
        <v>54</v>
      </c>
      <c r="K46" s="308">
        <f t="shared" si="11"/>
        <v>54</v>
      </c>
      <c r="L46" s="308">
        <f t="shared" si="11"/>
        <v>54</v>
      </c>
      <c r="M46" s="308">
        <f t="shared" si="11"/>
        <v>54</v>
      </c>
      <c r="N46" s="308">
        <f t="shared" si="11"/>
        <v>54</v>
      </c>
      <c r="O46" s="308">
        <f t="shared" si="11"/>
        <v>54</v>
      </c>
      <c r="P46" s="308">
        <f t="shared" si="11"/>
        <v>54</v>
      </c>
      <c r="Q46" s="308">
        <f t="shared" si="11"/>
        <v>54</v>
      </c>
      <c r="R46" s="308">
        <f t="shared" si="11"/>
        <v>54</v>
      </c>
      <c r="S46" s="308">
        <f t="shared" si="11"/>
        <v>54</v>
      </c>
      <c r="T46" s="308">
        <f t="shared" si="11"/>
        <v>54</v>
      </c>
      <c r="U46" s="308">
        <f t="shared" si="11"/>
        <v>54</v>
      </c>
      <c r="V46" s="308">
        <f t="shared" si="11"/>
        <v>54</v>
      </c>
      <c r="W46" s="308">
        <f t="shared" si="11"/>
        <v>54</v>
      </c>
      <c r="X46" s="308">
        <f t="shared" si="11"/>
        <v>54</v>
      </c>
    </row>
    <row r="47" spans="2:24" ht="28.5" x14ac:dyDescent="0.2">
      <c r="B47" s="754" t="str">
        <f>'G &amp; S Initial'!B44</f>
        <v xml:space="preserve">Field Studies Council Guide on Shapwick Heath sold via us here at Shapwick or Tourist Information Centre and shops. </v>
      </c>
      <c r="C47" s="754" t="str">
        <f>'G &amp; S Initial'!D44</f>
        <v>Number of guides sold retail</v>
      </c>
      <c r="D47" s="755"/>
      <c r="E47" s="756">
        <f>'G &amp; S Initial'!C44</f>
        <v>80</v>
      </c>
      <c r="F47" s="308">
        <f t="shared" si="9"/>
        <v>80</v>
      </c>
      <c r="G47" s="308">
        <f t="shared" si="9"/>
        <v>80</v>
      </c>
      <c r="H47" s="308">
        <f t="shared" si="9"/>
        <v>80</v>
      </c>
      <c r="I47" s="308">
        <f t="shared" si="9"/>
        <v>80</v>
      </c>
      <c r="J47" s="308">
        <f t="shared" si="11"/>
        <v>80</v>
      </c>
      <c r="K47" s="308">
        <f t="shared" si="11"/>
        <v>80</v>
      </c>
      <c r="L47" s="308">
        <f t="shared" si="11"/>
        <v>80</v>
      </c>
      <c r="M47" s="308">
        <f t="shared" si="11"/>
        <v>80</v>
      </c>
      <c r="N47" s="308">
        <f t="shared" si="11"/>
        <v>80</v>
      </c>
      <c r="O47" s="308">
        <f t="shared" si="11"/>
        <v>80</v>
      </c>
      <c r="P47" s="308">
        <f t="shared" si="11"/>
        <v>80</v>
      </c>
      <c r="Q47" s="308">
        <f t="shared" si="11"/>
        <v>80</v>
      </c>
      <c r="R47" s="308">
        <f t="shared" si="11"/>
        <v>80</v>
      </c>
      <c r="S47" s="308">
        <f t="shared" si="11"/>
        <v>80</v>
      </c>
      <c r="T47" s="308">
        <f t="shared" si="11"/>
        <v>80</v>
      </c>
      <c r="U47" s="308">
        <f t="shared" si="11"/>
        <v>80</v>
      </c>
      <c r="V47" s="308">
        <f t="shared" si="11"/>
        <v>80</v>
      </c>
      <c r="W47" s="308">
        <f t="shared" si="11"/>
        <v>80</v>
      </c>
      <c r="X47" s="308">
        <f t="shared" si="11"/>
        <v>80</v>
      </c>
    </row>
    <row r="48" spans="2:24" ht="28.5" x14ac:dyDescent="0.2">
      <c r="B48" s="234" t="str">
        <f>'G &amp; S Initial'!B45</f>
        <v>Benefits to people who volunteer regularly (at least once a month).</v>
      </c>
      <c r="C48" s="234" t="str">
        <f>'G &amp; S Initial'!D45</f>
        <v>No. people / yr</v>
      </c>
      <c r="D48" s="39"/>
      <c r="E48" s="304">
        <f>'G &amp; S Initial'!C45</f>
        <v>33</v>
      </c>
      <c r="F48" s="305">
        <f t="shared" si="9"/>
        <v>33</v>
      </c>
      <c r="G48" s="305">
        <f t="shared" si="9"/>
        <v>33</v>
      </c>
      <c r="H48" s="305">
        <f t="shared" si="9"/>
        <v>33</v>
      </c>
      <c r="I48" s="305">
        <f t="shared" si="9"/>
        <v>33</v>
      </c>
      <c r="J48" s="305">
        <f t="shared" si="11"/>
        <v>33</v>
      </c>
      <c r="K48" s="305">
        <f t="shared" si="11"/>
        <v>33</v>
      </c>
      <c r="L48" s="305">
        <f t="shared" si="11"/>
        <v>33</v>
      </c>
      <c r="M48" s="305">
        <f t="shared" si="11"/>
        <v>33</v>
      </c>
      <c r="N48" s="305">
        <f t="shared" si="11"/>
        <v>33</v>
      </c>
      <c r="O48" s="305">
        <f t="shared" si="11"/>
        <v>33</v>
      </c>
      <c r="P48" s="305">
        <f t="shared" si="11"/>
        <v>33</v>
      </c>
      <c r="Q48" s="305">
        <f t="shared" si="11"/>
        <v>33</v>
      </c>
      <c r="R48" s="305">
        <f t="shared" si="11"/>
        <v>33</v>
      </c>
      <c r="S48" s="305">
        <f t="shared" si="11"/>
        <v>33</v>
      </c>
      <c r="T48" s="305">
        <f t="shared" si="11"/>
        <v>33</v>
      </c>
      <c r="U48" s="305">
        <f t="shared" si="11"/>
        <v>33</v>
      </c>
      <c r="V48" s="305">
        <f t="shared" si="11"/>
        <v>33</v>
      </c>
      <c r="W48" s="305">
        <f t="shared" si="11"/>
        <v>33</v>
      </c>
      <c r="X48" s="305">
        <f t="shared" si="11"/>
        <v>33</v>
      </c>
    </row>
    <row r="49" spans="2:24" x14ac:dyDescent="0.2">
      <c r="B49" s="234">
        <f>'G &amp; S Initial'!B46</f>
        <v>0</v>
      </c>
      <c r="C49" s="234">
        <f>'G &amp; S Initial'!D46</f>
        <v>0</v>
      </c>
      <c r="D49" s="39"/>
      <c r="E49" s="304">
        <f>'G &amp; S Initial'!C46</f>
        <v>0</v>
      </c>
      <c r="F49" s="305">
        <f t="shared" si="9"/>
        <v>0</v>
      </c>
      <c r="G49" s="305">
        <f t="shared" si="9"/>
        <v>0</v>
      </c>
      <c r="H49" s="305">
        <f t="shared" si="9"/>
        <v>0</v>
      </c>
      <c r="I49" s="305">
        <f t="shared" si="9"/>
        <v>0</v>
      </c>
      <c r="J49" s="305">
        <f t="shared" si="11"/>
        <v>0</v>
      </c>
      <c r="K49" s="305">
        <f t="shared" si="11"/>
        <v>0</v>
      </c>
      <c r="L49" s="305">
        <f t="shared" si="11"/>
        <v>0</v>
      </c>
      <c r="M49" s="305">
        <f t="shared" si="11"/>
        <v>0</v>
      </c>
      <c r="N49" s="305">
        <f t="shared" si="11"/>
        <v>0</v>
      </c>
      <c r="O49" s="305">
        <f t="shared" si="11"/>
        <v>0</v>
      </c>
      <c r="P49" s="305">
        <f t="shared" si="11"/>
        <v>0</v>
      </c>
      <c r="Q49" s="305">
        <f t="shared" si="11"/>
        <v>0</v>
      </c>
      <c r="R49" s="305">
        <f t="shared" si="11"/>
        <v>0</v>
      </c>
      <c r="S49" s="305">
        <f t="shared" si="11"/>
        <v>0</v>
      </c>
      <c r="T49" s="305">
        <f t="shared" si="11"/>
        <v>0</v>
      </c>
      <c r="U49" s="305">
        <f t="shared" si="11"/>
        <v>0</v>
      </c>
      <c r="V49" s="305">
        <f t="shared" si="11"/>
        <v>0</v>
      </c>
      <c r="W49" s="305">
        <f t="shared" si="11"/>
        <v>0</v>
      </c>
      <c r="X49" s="305">
        <f t="shared" si="11"/>
        <v>0</v>
      </c>
    </row>
    <row r="50" spans="2:24" x14ac:dyDescent="0.2">
      <c r="B50" s="234">
        <f>'G &amp; S Initial'!B47</f>
        <v>0</v>
      </c>
      <c r="C50" s="234">
        <f>'G &amp; S Initial'!D47</f>
        <v>0</v>
      </c>
      <c r="D50" s="39"/>
      <c r="E50" s="304">
        <f>'G &amp; S Initial'!C47</f>
        <v>0</v>
      </c>
      <c r="F50" s="305">
        <f t="shared" si="9"/>
        <v>0</v>
      </c>
      <c r="G50" s="305">
        <f t="shared" si="9"/>
        <v>0</v>
      </c>
      <c r="H50" s="305">
        <f t="shared" si="9"/>
        <v>0</v>
      </c>
      <c r="I50" s="305">
        <f t="shared" si="9"/>
        <v>0</v>
      </c>
      <c r="J50" s="305">
        <f t="shared" si="11"/>
        <v>0</v>
      </c>
      <c r="K50" s="305">
        <f t="shared" si="11"/>
        <v>0</v>
      </c>
      <c r="L50" s="305">
        <f t="shared" si="11"/>
        <v>0</v>
      </c>
      <c r="M50" s="305">
        <f t="shared" si="11"/>
        <v>0</v>
      </c>
      <c r="N50" s="305">
        <f t="shared" si="11"/>
        <v>0</v>
      </c>
      <c r="O50" s="305">
        <f t="shared" si="11"/>
        <v>0</v>
      </c>
      <c r="P50" s="305">
        <f t="shared" si="11"/>
        <v>0</v>
      </c>
      <c r="Q50" s="305">
        <f t="shared" si="11"/>
        <v>0</v>
      </c>
      <c r="R50" s="305">
        <f t="shared" si="11"/>
        <v>0</v>
      </c>
      <c r="S50" s="305">
        <f t="shared" si="11"/>
        <v>0</v>
      </c>
      <c r="T50" s="305">
        <f t="shared" si="11"/>
        <v>0</v>
      </c>
      <c r="U50" s="305">
        <f t="shared" si="11"/>
        <v>0</v>
      </c>
      <c r="V50" s="305">
        <f t="shared" si="11"/>
        <v>0</v>
      </c>
      <c r="W50" s="305">
        <f t="shared" si="11"/>
        <v>0</v>
      </c>
      <c r="X50" s="305">
        <f t="shared" si="11"/>
        <v>0</v>
      </c>
    </row>
    <row r="51" spans="2:24" x14ac:dyDescent="0.2">
      <c r="B51" s="234">
        <f>'G &amp; S Initial'!B48</f>
        <v>0</v>
      </c>
      <c r="C51" s="234">
        <f>'G &amp; S Initial'!D48</f>
        <v>0</v>
      </c>
      <c r="D51" s="39"/>
      <c r="E51" s="304">
        <f>'G &amp; S Initial'!C48</f>
        <v>0</v>
      </c>
      <c r="F51" s="305">
        <f t="shared" si="9"/>
        <v>0</v>
      </c>
      <c r="G51" s="305">
        <f t="shared" si="9"/>
        <v>0</v>
      </c>
      <c r="H51" s="305">
        <f t="shared" si="9"/>
        <v>0</v>
      </c>
      <c r="I51" s="305">
        <f t="shared" si="9"/>
        <v>0</v>
      </c>
      <c r="J51" s="305">
        <f t="shared" si="11"/>
        <v>0</v>
      </c>
      <c r="K51" s="305">
        <f t="shared" si="11"/>
        <v>0</v>
      </c>
      <c r="L51" s="305">
        <f t="shared" si="11"/>
        <v>0</v>
      </c>
      <c r="M51" s="305">
        <f t="shared" si="11"/>
        <v>0</v>
      </c>
      <c r="N51" s="305">
        <f t="shared" si="11"/>
        <v>0</v>
      </c>
      <c r="O51" s="305">
        <f t="shared" si="11"/>
        <v>0</v>
      </c>
      <c r="P51" s="305">
        <f t="shared" si="11"/>
        <v>0</v>
      </c>
      <c r="Q51" s="305">
        <f t="shared" si="11"/>
        <v>0</v>
      </c>
      <c r="R51" s="305">
        <f t="shared" si="11"/>
        <v>0</v>
      </c>
      <c r="S51" s="305">
        <f t="shared" si="11"/>
        <v>0</v>
      </c>
      <c r="T51" s="305">
        <f t="shared" si="11"/>
        <v>0</v>
      </c>
      <c r="U51" s="305">
        <f t="shared" si="11"/>
        <v>0</v>
      </c>
      <c r="V51" s="305">
        <f t="shared" si="11"/>
        <v>0</v>
      </c>
      <c r="W51" s="305">
        <f t="shared" si="11"/>
        <v>0</v>
      </c>
      <c r="X51" s="305">
        <f t="shared" si="11"/>
        <v>0</v>
      </c>
    </row>
    <row r="53" spans="2:24" ht="15" x14ac:dyDescent="0.2">
      <c r="B53" s="254" t="s">
        <v>123</v>
      </c>
    </row>
    <row r="54" spans="2:24" ht="15" x14ac:dyDescent="0.25">
      <c r="B54" s="245"/>
    </row>
    <row r="55" spans="2:24" ht="15" x14ac:dyDescent="0.25">
      <c r="B55" s="181"/>
      <c r="C55" s="182"/>
      <c r="D55" s="182"/>
      <c r="E55" s="182"/>
      <c r="F55" s="182"/>
    </row>
    <row r="56" spans="2:24" ht="15" x14ac:dyDescent="0.25">
      <c r="B56" s="181" t="s">
        <v>905</v>
      </c>
      <c r="C56" s="182"/>
      <c r="D56" s="182"/>
      <c r="E56" s="182"/>
      <c r="F56" s="182"/>
    </row>
    <row r="57" spans="2:24" x14ac:dyDescent="0.2">
      <c r="B57" s="242" t="s">
        <v>907</v>
      </c>
      <c r="C57" s="1016">
        <f>SUM(E21:E22)</f>
        <v>167</v>
      </c>
      <c r="D57" s="182"/>
      <c r="E57" s="182"/>
      <c r="F57" s="182"/>
    </row>
    <row r="58" spans="2:24" x14ac:dyDescent="0.2">
      <c r="B58" s="1017" t="s">
        <v>1143</v>
      </c>
      <c r="C58" s="1016"/>
      <c r="D58" s="182"/>
      <c r="E58" s="182"/>
      <c r="F58" s="182"/>
    </row>
    <row r="59" spans="2:24" x14ac:dyDescent="0.2">
      <c r="B59" s="182" t="s">
        <v>906</v>
      </c>
      <c r="C59" s="182">
        <f>E24+(0.5*E25)+(0.33*E26)+(0.25*E27)</f>
        <v>5.41</v>
      </c>
      <c r="D59" s="182"/>
      <c r="E59" s="182"/>
      <c r="F59" s="182"/>
    </row>
    <row r="60" spans="2:24" x14ac:dyDescent="0.2">
      <c r="B60" s="182"/>
      <c r="C60" s="182"/>
      <c r="D60" s="182"/>
      <c r="E60" s="182"/>
      <c r="F60" s="182"/>
    </row>
    <row r="61" spans="2:24" ht="15" x14ac:dyDescent="0.2">
      <c r="B61" s="182"/>
      <c r="C61" s="192"/>
      <c r="D61" s="192"/>
      <c r="E61" s="182"/>
      <c r="F61" s="182"/>
    </row>
    <row r="62" spans="2:24" ht="15" x14ac:dyDescent="0.25">
      <c r="B62" s="183"/>
      <c r="C62" s="192"/>
      <c r="D62" s="192"/>
      <c r="E62" s="183"/>
      <c r="F62" s="183"/>
    </row>
    <row r="63" spans="2:24" x14ac:dyDescent="0.2">
      <c r="B63" s="184"/>
      <c r="C63" s="182"/>
      <c r="D63" s="182"/>
    </row>
    <row r="64" spans="2:24" ht="15" x14ac:dyDescent="0.25">
      <c r="B64" s="184"/>
      <c r="C64" s="182"/>
      <c r="D64" s="182"/>
      <c r="E64" s="185"/>
      <c r="F64" s="183"/>
    </row>
    <row r="65" spans="2:6" ht="15" x14ac:dyDescent="0.25">
      <c r="B65" s="184"/>
      <c r="C65" s="182"/>
      <c r="D65" s="182"/>
      <c r="E65" s="185"/>
      <c r="F65" s="183"/>
    </row>
    <row r="66" spans="2:6" x14ac:dyDescent="0.2">
      <c r="B66" s="184"/>
      <c r="C66" s="182"/>
      <c r="D66" s="182"/>
      <c r="E66" s="182"/>
      <c r="F66" s="182"/>
    </row>
    <row r="67" spans="2:6" x14ac:dyDescent="0.2">
      <c r="B67" s="184"/>
      <c r="C67" s="182"/>
      <c r="D67" s="182"/>
      <c r="E67" s="182"/>
      <c r="F67" s="182"/>
    </row>
    <row r="68" spans="2:6" x14ac:dyDescent="0.2">
      <c r="B68" s="182"/>
      <c r="C68" s="182"/>
      <c r="D68" s="182"/>
      <c r="E68" s="182"/>
      <c r="F68" s="182"/>
    </row>
    <row r="69" spans="2:6" x14ac:dyDescent="0.2">
      <c r="B69" s="182"/>
      <c r="C69" s="182"/>
      <c r="D69" s="182"/>
      <c r="E69" s="182"/>
      <c r="F69" s="182"/>
    </row>
    <row r="70" spans="2:6" x14ac:dyDescent="0.2">
      <c r="B70" s="185"/>
      <c r="C70" s="182"/>
      <c r="D70" s="182"/>
      <c r="E70" s="182"/>
      <c r="F70" s="182"/>
    </row>
    <row r="71" spans="2:6" x14ac:dyDescent="0.2">
      <c r="B71" s="255"/>
    </row>
  </sheetData>
  <customSheetViews>
    <customSheetView guid="{F0620CD8-87A9-448D-9A15-FA44C9D2FC91}" scale="80">
      <pageMargins left="0.7" right="0.7" top="0.75" bottom="0.75" header="0.3" footer="0.3"/>
      <pageSetup paperSize="9" orientation="portrait" r:id="rId1"/>
    </customSheetView>
  </customSheetViews>
  <hyperlinks>
    <hyperlink ref="B15" location="'G &amp; S Initial'!A1" display="Click here to enter data for the first year for another good or service."/>
    <hyperlink ref="B53" location="Indicators!A1" display="Go to next sheet"/>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BL82"/>
  <sheetViews>
    <sheetView zoomScale="80" zoomScaleNormal="80" workbookViewId="0"/>
  </sheetViews>
  <sheetFormatPr defaultRowHeight="14.25" x14ac:dyDescent="0.2"/>
  <cols>
    <col min="1" max="1" width="4.77734375" style="25" customWidth="1"/>
    <col min="2" max="2" width="26.77734375" style="25" customWidth="1"/>
    <col min="3" max="3" width="52.21875" style="25" bestFit="1" customWidth="1"/>
    <col min="4" max="4" width="13.33203125" style="25" customWidth="1"/>
    <col min="5" max="5" width="19.21875" style="25" customWidth="1"/>
    <col min="6" max="6" width="30.77734375" style="25" customWidth="1"/>
    <col min="7" max="7" width="10.33203125" style="25" customWidth="1"/>
    <col min="8" max="8" width="30.109375" style="25" customWidth="1"/>
    <col min="9" max="16384" width="8.88671875" style="25"/>
  </cols>
  <sheetData>
    <row r="1" spans="1:64" x14ac:dyDescent="0.2">
      <c r="A1" s="24"/>
    </row>
    <row r="2" spans="1:64" ht="15.75" x14ac:dyDescent="0.25">
      <c r="B2" s="26" t="s">
        <v>168</v>
      </c>
    </row>
    <row r="3" spans="1:64" x14ac:dyDescent="0.2">
      <c r="B3" s="27"/>
    </row>
    <row r="4" spans="1:64" ht="15" x14ac:dyDescent="0.25">
      <c r="B4" s="82" t="s">
        <v>85</v>
      </c>
    </row>
    <row r="5" spans="1:64" x14ac:dyDescent="0.2">
      <c r="B5" s="27" t="s">
        <v>888</v>
      </c>
    </row>
    <row r="6" spans="1:64" x14ac:dyDescent="0.2">
      <c r="B6" s="27" t="s">
        <v>1113</v>
      </c>
    </row>
    <row r="7" spans="1:64" x14ac:dyDescent="0.2">
      <c r="B7" s="27" t="s">
        <v>1071</v>
      </c>
    </row>
    <row r="8" spans="1:64" x14ac:dyDescent="0.2">
      <c r="B8" s="27"/>
    </row>
    <row r="9" spans="1:64" x14ac:dyDescent="0.2">
      <c r="B9" s="28" t="s">
        <v>1</v>
      </c>
      <c r="C9" s="70" t="str">
        <f>Focus!C16</f>
        <v>Shapwick Heath NNR</v>
      </c>
      <c r="E9" s="28"/>
      <c r="F9" s="29"/>
    </row>
    <row r="10" spans="1:64" x14ac:dyDescent="0.2">
      <c r="B10" s="28"/>
      <c r="C10" s="70"/>
      <c r="E10" s="28"/>
      <c r="F10" s="29"/>
    </row>
    <row r="11" spans="1:64" x14ac:dyDescent="0.2">
      <c r="B11" s="233" t="s">
        <v>197</v>
      </c>
      <c r="C11" s="70"/>
      <c r="E11" s="28"/>
      <c r="F11" s="29"/>
    </row>
    <row r="12" spans="1:64" x14ac:dyDescent="0.2">
      <c r="B12" s="27" t="s">
        <v>889</v>
      </c>
      <c r="C12" s="70"/>
      <c r="E12" s="28"/>
      <c r="F12" s="29"/>
    </row>
    <row r="13" spans="1:64" x14ac:dyDescent="0.2">
      <c r="B13" s="28"/>
      <c r="C13" s="70"/>
      <c r="E13" s="28"/>
      <c r="F13" s="29"/>
    </row>
    <row r="14" spans="1:64" ht="15" x14ac:dyDescent="0.2">
      <c r="B14" s="1276"/>
      <c r="C14" s="1275"/>
      <c r="D14" s="1275"/>
      <c r="E14" s="1275"/>
      <c r="F14" s="1275"/>
      <c r="G14" s="1275"/>
      <c r="H14" s="1275"/>
    </row>
    <row r="16" spans="1:64" ht="15" x14ac:dyDescent="0.25">
      <c r="A16" s="24"/>
      <c r="B16" s="87"/>
      <c r="C16" s="862"/>
      <c r="D16" s="31"/>
      <c r="E16" s="31"/>
      <c r="F16" s="32"/>
      <c r="G16" s="217" t="s">
        <v>186</v>
      </c>
      <c r="H16" s="30"/>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65.25" customHeight="1" x14ac:dyDescent="0.25">
      <c r="A17" s="24"/>
      <c r="B17" s="88" t="s">
        <v>3</v>
      </c>
      <c r="C17" s="863" t="s">
        <v>72</v>
      </c>
      <c r="D17" s="33" t="s">
        <v>832</v>
      </c>
      <c r="E17" s="34" t="s">
        <v>189</v>
      </c>
      <c r="F17" s="35" t="s">
        <v>58</v>
      </c>
      <c r="G17" s="630" t="str">
        <f>'G &amp; S Initial'!C15</f>
        <v>2017</v>
      </c>
      <c r="H17" s="666" t="s">
        <v>329</v>
      </c>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row>
    <row r="18" spans="1:64" ht="15" x14ac:dyDescent="0.25">
      <c r="A18" s="24"/>
      <c r="B18" s="174" t="s">
        <v>77</v>
      </c>
      <c r="C18" s="864"/>
      <c r="D18" s="84"/>
      <c r="E18" s="85"/>
      <c r="F18" s="86"/>
      <c r="G18" s="218"/>
      <c r="H18" s="218"/>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row>
    <row r="19" spans="1:64" ht="15.75" x14ac:dyDescent="0.25">
      <c r="A19" s="24"/>
      <c r="B19" s="136" t="s">
        <v>187</v>
      </c>
      <c r="C19" s="864"/>
      <c r="D19" s="84"/>
      <c r="E19" s="85"/>
      <c r="F19" s="86"/>
      <c r="G19" s="218"/>
      <c r="H19" s="218"/>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28.5" x14ac:dyDescent="0.2">
      <c r="A20" s="24"/>
      <c r="B20" s="671" t="s">
        <v>346</v>
      </c>
      <c r="C20" s="728"/>
      <c r="D20" s="672" t="s">
        <v>470</v>
      </c>
      <c r="E20" s="38" t="s">
        <v>511</v>
      </c>
      <c r="F20" s="39"/>
      <c r="G20" s="672">
        <v>40.590000000000003</v>
      </c>
      <c r="H20" s="219"/>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row>
    <row r="21" spans="1:64" ht="45" x14ac:dyDescent="0.2">
      <c r="A21" s="24"/>
      <c r="B21" s="671" t="s">
        <v>347</v>
      </c>
      <c r="C21" s="728"/>
      <c r="D21" s="672" t="s">
        <v>470</v>
      </c>
      <c r="E21" s="38" t="s">
        <v>511</v>
      </c>
      <c r="F21" s="39"/>
      <c r="G21" s="672">
        <v>181.2</v>
      </c>
      <c r="H21" s="219"/>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row>
    <row r="22" spans="1:64" ht="45" x14ac:dyDescent="0.2">
      <c r="A22" s="24"/>
      <c r="B22" s="673" t="s">
        <v>348</v>
      </c>
      <c r="C22" s="728"/>
      <c r="D22" s="672" t="s">
        <v>470</v>
      </c>
      <c r="E22" s="38" t="s">
        <v>511</v>
      </c>
      <c r="F22" s="39"/>
      <c r="G22" s="674">
        <v>12.3</v>
      </c>
      <c r="H22" s="219"/>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60" x14ac:dyDescent="0.2">
      <c r="A23" s="24"/>
      <c r="B23" s="671" t="s">
        <v>349</v>
      </c>
      <c r="C23" s="728"/>
      <c r="D23" s="672" t="s">
        <v>470</v>
      </c>
      <c r="E23" s="38" t="s">
        <v>511</v>
      </c>
      <c r="F23" s="39"/>
      <c r="G23" s="672">
        <v>51.15</v>
      </c>
      <c r="H23" s="219"/>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row>
    <row r="24" spans="1:64" ht="28.5" x14ac:dyDescent="0.2">
      <c r="A24" s="24"/>
      <c r="B24" s="671" t="s">
        <v>350</v>
      </c>
      <c r="C24" s="728"/>
      <c r="D24" s="672" t="s">
        <v>470</v>
      </c>
      <c r="E24" s="38" t="s">
        <v>511</v>
      </c>
      <c r="F24" s="39"/>
      <c r="G24" s="672">
        <v>45.67</v>
      </c>
      <c r="H24" s="221"/>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row>
    <row r="25" spans="1:64" ht="28.5" x14ac:dyDescent="0.2">
      <c r="A25" s="24"/>
      <c r="B25" s="671" t="s">
        <v>351</v>
      </c>
      <c r="C25" s="728"/>
      <c r="D25" s="672" t="s">
        <v>470</v>
      </c>
      <c r="E25" s="38" t="s">
        <v>511</v>
      </c>
      <c r="F25" s="39"/>
      <c r="G25" s="672">
        <v>4.54</v>
      </c>
      <c r="H25" s="222"/>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row>
    <row r="26" spans="1:64" ht="28.5" x14ac:dyDescent="0.2">
      <c r="A26" s="24"/>
      <c r="B26" s="671" t="s">
        <v>352</v>
      </c>
      <c r="C26" s="728"/>
      <c r="D26" s="672" t="s">
        <v>470</v>
      </c>
      <c r="E26" s="38" t="s">
        <v>511</v>
      </c>
      <c r="F26" s="39"/>
      <c r="G26" s="672">
        <v>0.48</v>
      </c>
      <c r="H26" s="222"/>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row>
    <row r="27" spans="1:64" ht="28.5" x14ac:dyDescent="0.2">
      <c r="A27" s="24"/>
      <c r="B27" s="671" t="s">
        <v>353</v>
      </c>
      <c r="C27" s="728"/>
      <c r="D27" s="672" t="s">
        <v>470</v>
      </c>
      <c r="E27" s="38" t="s">
        <v>511</v>
      </c>
      <c r="F27" s="39"/>
      <c r="G27" s="672">
        <v>4</v>
      </c>
      <c r="H27" s="222"/>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row>
    <row r="28" spans="1:64" ht="28.5" x14ac:dyDescent="0.2">
      <c r="A28" s="24"/>
      <c r="B28" s="671" t="s">
        <v>354</v>
      </c>
      <c r="C28" s="728"/>
      <c r="D28" s="672" t="s">
        <v>470</v>
      </c>
      <c r="E28" s="38" t="s">
        <v>511</v>
      </c>
      <c r="F28" s="39"/>
      <c r="G28" s="672">
        <v>5.07</v>
      </c>
      <c r="H28" s="222"/>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row>
    <row r="29" spans="1:64" ht="28.5" x14ac:dyDescent="0.2">
      <c r="A29" s="24"/>
      <c r="B29" s="671" t="s">
        <v>355</v>
      </c>
      <c r="C29" s="728"/>
      <c r="D29" s="672" t="s">
        <v>470</v>
      </c>
      <c r="E29" s="38" t="s">
        <v>511</v>
      </c>
      <c r="F29" s="39"/>
      <c r="G29" s="672">
        <v>14.21</v>
      </c>
      <c r="H29" s="222"/>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row>
    <row r="30" spans="1:64" ht="28.5" x14ac:dyDescent="0.2">
      <c r="A30" s="24"/>
      <c r="B30" s="671" t="s">
        <v>356</v>
      </c>
      <c r="C30" s="728"/>
      <c r="D30" s="672" t="s">
        <v>470</v>
      </c>
      <c r="E30" s="38" t="s">
        <v>511</v>
      </c>
      <c r="F30" s="39"/>
      <c r="G30" s="672">
        <v>16.43</v>
      </c>
      <c r="H30" s="219"/>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row>
    <row r="31" spans="1:64" x14ac:dyDescent="0.2">
      <c r="A31" s="24"/>
      <c r="B31" s="41"/>
      <c r="C31" s="729"/>
      <c r="D31" s="40"/>
      <c r="E31" s="40"/>
      <c r="F31" s="41"/>
      <c r="G31" s="216"/>
      <c r="H31" s="216"/>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15" x14ac:dyDescent="0.2">
      <c r="A32" s="24"/>
      <c r="B32" s="89" t="s">
        <v>86</v>
      </c>
      <c r="C32" s="858"/>
      <c r="D32" s="91"/>
      <c r="E32" s="91"/>
      <c r="F32" s="92"/>
      <c r="G32" s="223"/>
      <c r="H32" s="223"/>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row>
    <row r="33" spans="1:64" ht="15" x14ac:dyDescent="0.2">
      <c r="A33" s="24"/>
      <c r="B33" s="93" t="s">
        <v>187</v>
      </c>
      <c r="C33" s="859"/>
      <c r="D33" s="91"/>
      <c r="E33" s="91"/>
      <c r="F33" s="92"/>
      <c r="G33" s="223"/>
      <c r="H33" s="223"/>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row>
    <row r="34" spans="1:64" s="758" customFormat="1" ht="30" x14ac:dyDescent="0.2">
      <c r="A34" s="757"/>
      <c r="B34" s="671" t="s">
        <v>357</v>
      </c>
      <c r="C34" s="860" t="s">
        <v>478</v>
      </c>
      <c r="D34" s="671" t="s">
        <v>509</v>
      </c>
      <c r="E34" s="38" t="s">
        <v>485</v>
      </c>
      <c r="F34" s="39"/>
      <c r="G34" s="219">
        <v>16</v>
      </c>
      <c r="H34" s="219"/>
      <c r="I34" s="757"/>
      <c r="J34" s="757"/>
      <c r="K34" s="757"/>
      <c r="L34" s="757"/>
      <c r="M34" s="757"/>
      <c r="N34" s="757"/>
      <c r="O34" s="757"/>
      <c r="P34" s="757"/>
      <c r="Q34" s="757"/>
      <c r="R34" s="757"/>
      <c r="S34" s="757"/>
      <c r="T34" s="757"/>
      <c r="U34" s="757"/>
      <c r="V34" s="757"/>
      <c r="W34" s="757"/>
      <c r="X34" s="757"/>
      <c r="Y34" s="757"/>
      <c r="Z34" s="757"/>
      <c r="AA34" s="757"/>
      <c r="AB34" s="757"/>
      <c r="AC34" s="757"/>
      <c r="AD34" s="757"/>
      <c r="AE34" s="757"/>
      <c r="AF34" s="757"/>
      <c r="AG34" s="757"/>
      <c r="AH34" s="757"/>
      <c r="AI34" s="757"/>
      <c r="AJ34" s="757"/>
      <c r="AK34" s="757"/>
      <c r="AL34" s="757"/>
      <c r="AM34" s="757"/>
      <c r="AN34" s="757"/>
      <c r="AO34" s="757"/>
      <c r="AP34" s="757"/>
      <c r="AQ34" s="757"/>
      <c r="AR34" s="757"/>
      <c r="AS34" s="757"/>
      <c r="AT34" s="757"/>
      <c r="AU34" s="757"/>
      <c r="AV34" s="757"/>
      <c r="AW34" s="757"/>
      <c r="AX34" s="757"/>
      <c r="AY34" s="757"/>
      <c r="AZ34" s="757"/>
      <c r="BA34" s="757"/>
      <c r="BB34" s="757"/>
      <c r="BC34" s="757"/>
      <c r="BD34" s="757"/>
      <c r="BE34" s="757"/>
      <c r="BF34" s="757"/>
      <c r="BG34" s="757"/>
      <c r="BH34" s="757"/>
      <c r="BI34" s="757"/>
      <c r="BJ34" s="757"/>
      <c r="BK34" s="757"/>
      <c r="BL34" s="757"/>
    </row>
    <row r="35" spans="1:64" s="758" customFormat="1" ht="90" x14ac:dyDescent="0.2">
      <c r="A35" s="757"/>
      <c r="B35" s="671" t="s">
        <v>1023</v>
      </c>
      <c r="C35" s="860" t="s">
        <v>510</v>
      </c>
      <c r="D35" s="671" t="s">
        <v>1024</v>
      </c>
      <c r="E35" s="38" t="s">
        <v>1025</v>
      </c>
      <c r="F35" s="39"/>
      <c r="G35" s="225">
        <v>3000</v>
      </c>
      <c r="H35" s="219"/>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7"/>
      <c r="BA35" s="757"/>
      <c r="BB35" s="757"/>
      <c r="BC35" s="757"/>
      <c r="BD35" s="757"/>
      <c r="BE35" s="757"/>
      <c r="BF35" s="757"/>
      <c r="BG35" s="757"/>
      <c r="BH35" s="757"/>
      <c r="BI35" s="757"/>
      <c r="BJ35" s="757"/>
      <c r="BK35" s="757"/>
      <c r="BL35" s="757"/>
    </row>
    <row r="36" spans="1:64" ht="30" x14ac:dyDescent="0.2">
      <c r="A36" s="24"/>
      <c r="B36" s="671" t="s">
        <v>608</v>
      </c>
      <c r="C36" s="861"/>
      <c r="D36" s="38" t="s">
        <v>479</v>
      </c>
      <c r="E36" s="38"/>
      <c r="F36" s="39"/>
      <c r="G36" s="219" t="s">
        <v>107</v>
      </c>
      <c r="H36" s="219"/>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row>
    <row r="37" spans="1:64" x14ac:dyDescent="0.2">
      <c r="A37" s="24"/>
      <c r="B37" s="39" t="s">
        <v>481</v>
      </c>
      <c r="C37" s="728"/>
      <c r="D37" s="38" t="s">
        <v>479</v>
      </c>
      <c r="E37" s="38" t="s">
        <v>484</v>
      </c>
      <c r="F37" s="39"/>
      <c r="G37" s="219" t="s">
        <v>107</v>
      </c>
      <c r="H37" s="219"/>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row>
    <row r="38" spans="1:64" ht="28.5" x14ac:dyDescent="0.2">
      <c r="A38" s="24"/>
      <c r="B38" s="39" t="s">
        <v>480</v>
      </c>
      <c r="C38" s="728"/>
      <c r="D38" s="38" t="s">
        <v>479</v>
      </c>
      <c r="E38" s="38" t="s">
        <v>483</v>
      </c>
      <c r="F38" s="39"/>
      <c r="G38" s="219" t="s">
        <v>107</v>
      </c>
      <c r="H38" s="219"/>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row>
    <row r="39" spans="1:64" ht="28.5" x14ac:dyDescent="0.2">
      <c r="A39" s="24"/>
      <c r="B39" s="39" t="s">
        <v>482</v>
      </c>
      <c r="C39" s="728"/>
      <c r="D39" s="38" t="s">
        <v>479</v>
      </c>
      <c r="E39" s="38"/>
      <c r="F39" s="39"/>
      <c r="G39" s="219" t="s">
        <v>107</v>
      </c>
      <c r="H39" s="219"/>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row>
    <row r="40" spans="1:64" ht="30" x14ac:dyDescent="0.2">
      <c r="A40" s="24"/>
      <c r="B40" s="671" t="s">
        <v>758</v>
      </c>
      <c r="C40" s="728" t="s">
        <v>477</v>
      </c>
      <c r="D40" s="38" t="s">
        <v>479</v>
      </c>
      <c r="E40" s="38"/>
      <c r="F40" s="39"/>
      <c r="G40" s="219" t="s">
        <v>107</v>
      </c>
      <c r="H40" s="2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row>
    <row r="41" spans="1:64" ht="60" x14ac:dyDescent="0.2">
      <c r="A41" s="24"/>
      <c r="B41" s="671" t="s">
        <v>759</v>
      </c>
      <c r="C41" s="728" t="s">
        <v>477</v>
      </c>
      <c r="D41" s="38" t="s">
        <v>479</v>
      </c>
      <c r="E41" s="38"/>
      <c r="F41" s="39"/>
      <c r="G41" s="219" t="s">
        <v>107</v>
      </c>
      <c r="H41" s="2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row>
    <row r="42" spans="1:64" ht="60" x14ac:dyDescent="0.2">
      <c r="A42" s="24"/>
      <c r="B42" s="673" t="s">
        <v>760</v>
      </c>
      <c r="C42" s="728" t="s">
        <v>477</v>
      </c>
      <c r="D42" s="38" t="s">
        <v>479</v>
      </c>
      <c r="E42" s="38"/>
      <c r="F42" s="39"/>
      <c r="G42" s="219" t="s">
        <v>107</v>
      </c>
      <c r="H42" s="219"/>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row>
    <row r="43" spans="1:64" ht="75" x14ac:dyDescent="0.2">
      <c r="A43" s="24"/>
      <c r="B43" s="671" t="s">
        <v>761</v>
      </c>
      <c r="C43" s="728" t="s">
        <v>477</v>
      </c>
      <c r="D43" s="38" t="s">
        <v>479</v>
      </c>
      <c r="E43" s="38"/>
      <c r="F43" s="39"/>
      <c r="G43" s="219" t="s">
        <v>107</v>
      </c>
      <c r="H43" s="219"/>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row>
    <row r="44" spans="1:64" ht="30" x14ac:dyDescent="0.2">
      <c r="A44" s="24"/>
      <c r="B44" s="671" t="s">
        <v>762</v>
      </c>
      <c r="C44" s="728" t="s">
        <v>477</v>
      </c>
      <c r="D44" s="38" t="s">
        <v>479</v>
      </c>
      <c r="E44" s="38"/>
      <c r="F44" s="39"/>
      <c r="G44" s="219" t="s">
        <v>107</v>
      </c>
      <c r="H44" s="219"/>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row>
    <row r="45" spans="1:64" ht="30" x14ac:dyDescent="0.2">
      <c r="A45" s="24"/>
      <c r="B45" s="671" t="s">
        <v>763</v>
      </c>
      <c r="C45" s="728" t="s">
        <v>477</v>
      </c>
      <c r="D45" s="38" t="s">
        <v>479</v>
      </c>
      <c r="E45" s="38"/>
      <c r="F45" s="39"/>
      <c r="G45" s="219" t="s">
        <v>107</v>
      </c>
      <c r="H45" s="2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row>
    <row r="46" spans="1:64" ht="30" x14ac:dyDescent="0.2">
      <c r="A46" s="24"/>
      <c r="B46" s="671" t="s">
        <v>1008</v>
      </c>
      <c r="C46" s="728" t="s">
        <v>477</v>
      </c>
      <c r="D46" s="38" t="s">
        <v>479</v>
      </c>
      <c r="E46" s="38"/>
      <c r="F46" s="39"/>
      <c r="G46" s="219" t="s">
        <v>107</v>
      </c>
      <c r="H46" s="2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row>
    <row r="47" spans="1:64" ht="30" x14ac:dyDescent="0.2">
      <c r="A47" s="24"/>
      <c r="B47" s="671" t="s">
        <v>1009</v>
      </c>
      <c r="C47" s="728" t="s">
        <v>477</v>
      </c>
      <c r="D47" s="38" t="s">
        <v>479</v>
      </c>
      <c r="E47" s="38"/>
      <c r="F47" s="39"/>
      <c r="G47" s="219" t="s">
        <v>107</v>
      </c>
      <c r="H47" s="219"/>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row>
    <row r="48" spans="1:64" ht="45" x14ac:dyDescent="0.2">
      <c r="A48" s="24"/>
      <c r="B48" s="671" t="s">
        <v>1010</v>
      </c>
      <c r="C48" s="728" t="s">
        <v>477</v>
      </c>
      <c r="D48" s="38" t="s">
        <v>479</v>
      </c>
      <c r="E48" s="38"/>
      <c r="F48" s="39"/>
      <c r="G48" s="219" t="s">
        <v>107</v>
      </c>
      <c r="H48" s="219"/>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row>
    <row r="49" spans="1:64" ht="45" x14ac:dyDescent="0.2">
      <c r="A49" s="24"/>
      <c r="B49" s="671" t="s">
        <v>1011</v>
      </c>
      <c r="C49" s="728" t="s">
        <v>477</v>
      </c>
      <c r="D49" s="38" t="s">
        <v>479</v>
      </c>
      <c r="E49" s="38"/>
      <c r="F49" s="39"/>
      <c r="G49" s="219" t="s">
        <v>107</v>
      </c>
      <c r="H49" s="219"/>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row>
    <row r="50" spans="1:64" ht="45" x14ac:dyDescent="0.2">
      <c r="A50" s="24"/>
      <c r="B50" s="671" t="s">
        <v>1012</v>
      </c>
      <c r="C50" s="728" t="s">
        <v>477</v>
      </c>
      <c r="D50" s="38" t="s">
        <v>479</v>
      </c>
      <c r="E50" s="38"/>
      <c r="F50" s="39"/>
      <c r="G50" s="219" t="s">
        <v>107</v>
      </c>
      <c r="H50" s="219"/>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row>
    <row r="51" spans="1:64" ht="45" x14ac:dyDescent="0.2">
      <c r="A51" s="24"/>
      <c r="B51" s="1026" t="s">
        <v>1013</v>
      </c>
      <c r="C51" s="729"/>
      <c r="D51" s="1044" t="s">
        <v>479</v>
      </c>
      <c r="E51" s="40"/>
      <c r="F51" s="41"/>
      <c r="G51" s="1045" t="s">
        <v>107</v>
      </c>
      <c r="H51" s="216"/>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row>
    <row r="52" spans="1:64" ht="15" x14ac:dyDescent="0.25">
      <c r="A52" s="24"/>
      <c r="B52" s="865" t="s">
        <v>87</v>
      </c>
      <c r="C52" s="90"/>
      <c r="D52" s="91"/>
      <c r="E52" s="91"/>
      <c r="F52" s="92"/>
      <c r="G52" s="223"/>
      <c r="H52" s="223"/>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row>
    <row r="53" spans="1:64" ht="15" x14ac:dyDescent="0.2">
      <c r="A53" s="24"/>
      <c r="B53" s="93" t="s">
        <v>187</v>
      </c>
      <c r="C53" s="90"/>
      <c r="D53" s="91"/>
      <c r="E53" s="91"/>
      <c r="F53" s="92"/>
      <c r="G53" s="223"/>
      <c r="H53" s="223"/>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row>
    <row r="54" spans="1:64" ht="42.75" x14ac:dyDescent="0.2">
      <c r="A54" s="24"/>
      <c r="B54" s="39" t="s">
        <v>794</v>
      </c>
      <c r="C54" s="37"/>
      <c r="D54" s="38"/>
      <c r="E54" s="38"/>
      <c r="F54" s="39"/>
      <c r="G54" s="225"/>
      <c r="H54" s="225"/>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row>
    <row r="55" spans="1:64" x14ac:dyDescent="0.2">
      <c r="A55" s="24"/>
      <c r="B55" s="39"/>
      <c r="C55" s="37"/>
      <c r="D55" s="38"/>
      <c r="E55" s="38"/>
      <c r="F55" s="39"/>
      <c r="G55" s="219"/>
      <c r="H55" s="219"/>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row>
    <row r="56" spans="1:64" x14ac:dyDescent="0.2">
      <c r="A56" s="24"/>
      <c r="B56" s="39"/>
      <c r="C56" s="37"/>
      <c r="D56" s="38"/>
      <c r="E56" s="38"/>
      <c r="F56" s="39"/>
      <c r="G56" s="219"/>
      <c r="H56" s="219"/>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row>
    <row r="57" spans="1:64" x14ac:dyDescent="0.2">
      <c r="A57" s="24"/>
      <c r="B57" s="39"/>
      <c r="C57" s="37"/>
      <c r="D57" s="38"/>
      <c r="E57" s="38"/>
      <c r="F57" s="39"/>
      <c r="G57" s="219"/>
      <c r="H57" s="219"/>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row>
    <row r="58" spans="1:64" x14ac:dyDescent="0.2">
      <c r="A58" s="24"/>
      <c r="B58" s="39"/>
      <c r="C58" s="37"/>
      <c r="D58" s="38"/>
      <c r="E58" s="38"/>
      <c r="F58" s="39"/>
      <c r="G58" s="219"/>
      <c r="H58" s="219"/>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row>
    <row r="59" spans="1:64" x14ac:dyDescent="0.2">
      <c r="A59" s="24"/>
      <c r="B59" s="39"/>
      <c r="C59" s="37"/>
      <c r="D59" s="38"/>
      <c r="E59" s="38"/>
      <c r="F59" s="39"/>
      <c r="G59" s="219"/>
      <c r="H59" s="219"/>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row>
    <row r="60" spans="1:64" x14ac:dyDescent="0.2">
      <c r="A60" s="24"/>
      <c r="B60" s="39"/>
      <c r="C60" s="37"/>
      <c r="D60" s="38"/>
      <c r="E60" s="38"/>
      <c r="F60" s="39"/>
      <c r="G60" s="219"/>
      <c r="H60" s="219"/>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row>
    <row r="61" spans="1:64" x14ac:dyDescent="0.2">
      <c r="A61" s="24"/>
      <c r="B61" s="39"/>
      <c r="C61" s="37"/>
      <c r="D61" s="38"/>
      <c r="E61" s="38"/>
      <c r="F61" s="39"/>
      <c r="G61" s="219"/>
      <c r="H61" s="219"/>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row>
    <row r="62" spans="1:64" s="24" customFormat="1" x14ac:dyDescent="0.2">
      <c r="G62" s="220"/>
      <c r="H62" s="220"/>
    </row>
    <row r="63" spans="1:64" s="24" customFormat="1" ht="15" x14ac:dyDescent="0.2">
      <c r="B63" s="1011" t="s">
        <v>123</v>
      </c>
      <c r="G63" s="220"/>
      <c r="H63" s="220"/>
    </row>
    <row r="64" spans="1:64" s="24" customFormat="1" x14ac:dyDescent="0.2">
      <c r="G64" s="220"/>
      <c r="H64" s="220"/>
    </row>
    <row r="65" spans="2:8" ht="15" x14ac:dyDescent="0.25">
      <c r="B65" s="186"/>
      <c r="G65" s="31"/>
      <c r="H65" s="31"/>
    </row>
    <row r="66" spans="2:8" ht="15" x14ac:dyDescent="0.25">
      <c r="B66" s="186"/>
      <c r="G66" s="31"/>
      <c r="H66" s="31"/>
    </row>
    <row r="67" spans="2:8" x14ac:dyDescent="0.2">
      <c r="G67" s="31"/>
      <c r="H67" s="31"/>
    </row>
    <row r="68" spans="2:8" ht="15" x14ac:dyDescent="0.25">
      <c r="B68" s="186"/>
      <c r="G68" s="31"/>
      <c r="H68" s="31"/>
    </row>
    <row r="69" spans="2:8" ht="15" x14ac:dyDescent="0.25">
      <c r="C69" s="187"/>
      <c r="D69" s="187"/>
      <c r="G69" s="31"/>
      <c r="H69" s="31"/>
    </row>
    <row r="70" spans="2:8" ht="15" x14ac:dyDescent="0.25">
      <c r="B70" s="36"/>
      <c r="C70" s="187"/>
      <c r="D70" s="187"/>
      <c r="E70" s="196"/>
      <c r="F70" s="196"/>
      <c r="G70" s="31"/>
      <c r="H70" s="31"/>
    </row>
    <row r="71" spans="2:8" ht="15" x14ac:dyDescent="0.25">
      <c r="B71" s="188"/>
      <c r="C71" s="28"/>
      <c r="D71" s="205"/>
      <c r="F71" s="36"/>
      <c r="G71" s="31"/>
      <c r="H71" s="31"/>
    </row>
    <row r="72" spans="2:8" x14ac:dyDescent="0.2">
      <c r="B72" s="188"/>
      <c r="C72" s="28"/>
      <c r="D72" s="28"/>
      <c r="E72" s="191"/>
      <c r="F72" s="191"/>
      <c r="G72" s="31"/>
      <c r="H72" s="31"/>
    </row>
    <row r="73" spans="2:8" ht="32.25" customHeight="1" x14ac:dyDescent="0.2">
      <c r="B73" s="197"/>
      <c r="C73" s="198"/>
      <c r="D73" s="198"/>
      <c r="E73" s="199"/>
      <c r="F73" s="200"/>
      <c r="G73" s="31"/>
      <c r="H73" s="31"/>
    </row>
    <row r="74" spans="2:8" x14ac:dyDescent="0.2">
      <c r="B74" s="201"/>
      <c r="C74" s="198"/>
      <c r="D74" s="198"/>
      <c r="E74" s="202"/>
      <c r="F74" s="199"/>
      <c r="G74" s="31"/>
      <c r="H74" s="31"/>
    </row>
    <row r="75" spans="2:8" x14ac:dyDescent="0.2">
      <c r="B75" s="201"/>
      <c r="C75" s="203"/>
      <c r="D75" s="206"/>
      <c r="F75" s="204"/>
      <c r="G75" s="31"/>
      <c r="H75" s="31"/>
    </row>
    <row r="76" spans="2:8" x14ac:dyDescent="0.2">
      <c r="B76" s="201"/>
      <c r="C76" s="203"/>
      <c r="D76" s="198"/>
      <c r="E76" s="202"/>
      <c r="F76" s="204"/>
      <c r="G76" s="31"/>
      <c r="H76" s="31"/>
    </row>
    <row r="77" spans="2:8" x14ac:dyDescent="0.2">
      <c r="B77" s="188"/>
      <c r="C77" s="189"/>
      <c r="E77" s="190"/>
      <c r="G77" s="31"/>
      <c r="H77" s="31"/>
    </row>
    <row r="78" spans="2:8" x14ac:dyDescent="0.2">
      <c r="G78" s="31"/>
      <c r="H78" s="31"/>
    </row>
    <row r="79" spans="2:8" x14ac:dyDescent="0.2">
      <c r="B79" s="191"/>
      <c r="G79" s="31"/>
      <c r="H79" s="31"/>
    </row>
    <row r="80" spans="2:8" x14ac:dyDescent="0.2">
      <c r="B80" s="191"/>
      <c r="G80" s="31"/>
      <c r="H80" s="31"/>
    </row>
    <row r="81" spans="2:8" x14ac:dyDescent="0.2">
      <c r="B81" s="191"/>
      <c r="G81" s="31"/>
      <c r="H81" s="31"/>
    </row>
    <row r="82" spans="2:8" x14ac:dyDescent="0.2">
      <c r="G82" s="31"/>
      <c r="H82" s="31"/>
    </row>
  </sheetData>
  <customSheetViews>
    <customSheetView guid="{F0620CD8-87A9-448D-9A15-FA44C9D2FC91}" scale="80">
      <pageMargins left="0.7" right="0.7" top="0.75" bottom="0.75" header="0.3" footer="0.3"/>
      <pageSetup paperSize="9" orientation="portrait" r:id="rId1"/>
    </customSheetView>
  </customSheetViews>
  <mergeCells count="1">
    <mergeCell ref="B14:H14"/>
  </mergeCells>
  <hyperlinks>
    <hyperlink ref="B19" location="'Tip QuantInd'!A1" display="How to complete"/>
    <hyperlink ref="B33" location="'Tip QualInd'!A1" display="How to complete"/>
    <hyperlink ref="B53" location="'Tip OthInd'!A1" display="How to complete"/>
    <hyperlink ref="B63" location="'Cost Initial'!A1" display="Go to next sheet"/>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F6F9"/>
  </sheetPr>
  <dimension ref="A2:AD76"/>
  <sheetViews>
    <sheetView zoomScale="80" zoomScaleNormal="80" workbookViewId="0"/>
  </sheetViews>
  <sheetFormatPr defaultRowHeight="14.25" x14ac:dyDescent="0.2"/>
  <cols>
    <col min="1" max="1" width="4.77734375" style="414" customWidth="1"/>
    <col min="2" max="2" width="49.33203125" style="414" customWidth="1"/>
    <col min="3" max="3" width="24.77734375" style="414" customWidth="1"/>
    <col min="4" max="5" width="8.44140625" style="414" customWidth="1"/>
    <col min="6" max="6" width="16.21875" style="414" customWidth="1"/>
    <col min="7" max="7" width="22" style="414" customWidth="1"/>
    <col min="8" max="8" width="9.77734375" style="414" customWidth="1"/>
    <col min="9" max="9" width="11" style="414" customWidth="1"/>
    <col min="10" max="10" width="12.21875" style="414" customWidth="1"/>
    <col min="11" max="11" width="23.21875" style="414" customWidth="1"/>
    <col min="12" max="12" width="4.109375" style="414" customWidth="1"/>
    <col min="13" max="13" width="23.44140625" style="414" customWidth="1"/>
    <col min="14" max="29" width="8.88671875" style="414"/>
    <col min="30" max="30" width="8.88671875" style="414" hidden="1" customWidth="1"/>
    <col min="31" max="87" width="8.88671875" style="414"/>
    <col min="88" max="88" width="26.21875" style="414" customWidth="1"/>
    <col min="89" max="16384" width="8.88671875" style="414"/>
  </cols>
  <sheetData>
    <row r="2" spans="2:30" ht="15.75" x14ac:dyDescent="0.25">
      <c r="B2" s="415" t="s">
        <v>254</v>
      </c>
      <c r="AD2" s="414" t="s">
        <v>107</v>
      </c>
    </row>
    <row r="3" spans="2:30" x14ac:dyDescent="0.2">
      <c r="B3" s="416"/>
      <c r="G3" s="417"/>
      <c r="H3" s="417"/>
      <c r="I3" s="417"/>
      <c r="J3" s="417"/>
      <c r="K3" s="418"/>
      <c r="AD3" s="414" t="s">
        <v>110</v>
      </c>
    </row>
    <row r="4" spans="2:30" ht="15" x14ac:dyDescent="0.25">
      <c r="B4" s="419" t="s">
        <v>85</v>
      </c>
      <c r="G4" s="417"/>
      <c r="H4" s="417"/>
      <c r="I4" s="417"/>
      <c r="J4" s="417"/>
      <c r="K4" s="418"/>
    </row>
    <row r="5" spans="2:30" x14ac:dyDescent="0.2">
      <c r="B5" s="416" t="s">
        <v>1135</v>
      </c>
      <c r="G5" s="417"/>
      <c r="H5" s="417"/>
      <c r="I5" s="417"/>
      <c r="J5" s="417"/>
      <c r="K5" s="418"/>
    </row>
    <row r="6" spans="2:30" x14ac:dyDescent="0.2">
      <c r="B6" s="416" t="s">
        <v>886</v>
      </c>
      <c r="G6" s="417"/>
      <c r="H6" s="417"/>
      <c r="I6" s="417"/>
      <c r="J6" s="417"/>
      <c r="K6" s="418"/>
    </row>
    <row r="7" spans="2:30" x14ac:dyDescent="0.2">
      <c r="B7" s="416" t="s">
        <v>890</v>
      </c>
      <c r="G7" s="417"/>
      <c r="H7" s="417"/>
      <c r="I7" s="417"/>
      <c r="J7" s="417"/>
      <c r="K7" s="418"/>
    </row>
    <row r="8" spans="2:30" x14ac:dyDescent="0.2">
      <c r="B8" s="416" t="s">
        <v>1077</v>
      </c>
      <c r="G8" s="417"/>
      <c r="H8" s="417"/>
      <c r="I8" s="417"/>
      <c r="J8" s="417"/>
      <c r="K8" s="418"/>
    </row>
    <row r="9" spans="2:30" x14ac:dyDescent="0.2">
      <c r="G9" s="417"/>
      <c r="H9" s="417"/>
      <c r="I9" s="417"/>
      <c r="J9" s="417"/>
      <c r="K9" s="418"/>
    </row>
    <row r="10" spans="2:30" x14ac:dyDescent="0.2">
      <c r="B10" s="417" t="s">
        <v>4</v>
      </c>
      <c r="C10" s="420" t="str">
        <f>Focus!C16</f>
        <v>Shapwick Heath NNR</v>
      </c>
      <c r="G10" s="417"/>
      <c r="H10" s="417"/>
      <c r="I10" s="417"/>
      <c r="J10" s="417"/>
      <c r="K10" s="418"/>
    </row>
    <row r="11" spans="2:30" x14ac:dyDescent="0.2">
      <c r="G11" s="417"/>
      <c r="H11" s="417"/>
      <c r="I11" s="417"/>
      <c r="J11" s="417"/>
      <c r="K11" s="418"/>
    </row>
    <row r="12" spans="2:30" x14ac:dyDescent="0.2">
      <c r="B12" s="515" t="s">
        <v>177</v>
      </c>
      <c r="C12" s="515"/>
    </row>
    <row r="14" spans="2:30" x14ac:dyDescent="0.2">
      <c r="B14" s="414" t="s">
        <v>246</v>
      </c>
    </row>
    <row r="15" spans="2:30" x14ac:dyDescent="0.2">
      <c r="B15" s="987" t="s">
        <v>146</v>
      </c>
    </row>
    <row r="16" spans="2:30" x14ac:dyDescent="0.2">
      <c r="B16" s="1188" t="s">
        <v>1065</v>
      </c>
    </row>
    <row r="17" spans="2:13" x14ac:dyDescent="0.2">
      <c r="B17" s="414" t="s">
        <v>161</v>
      </c>
    </row>
    <row r="18" spans="2:13" x14ac:dyDescent="0.2">
      <c r="B18" s="422" t="s">
        <v>162</v>
      </c>
    </row>
    <row r="19" spans="2:13" x14ac:dyDescent="0.2">
      <c r="B19" s="422"/>
    </row>
    <row r="20" spans="2:13" x14ac:dyDescent="0.2">
      <c r="B20" s="421" t="s">
        <v>103</v>
      </c>
    </row>
    <row r="21" spans="2:13" x14ac:dyDescent="0.2">
      <c r="B21" s="421" t="s">
        <v>255</v>
      </c>
    </row>
    <row r="22" spans="2:13" x14ac:dyDescent="0.2">
      <c r="B22" s="421"/>
    </row>
    <row r="23" spans="2:13" x14ac:dyDescent="0.2">
      <c r="B23" s="516" t="s">
        <v>256</v>
      </c>
    </row>
    <row r="24" spans="2:13" x14ac:dyDescent="0.2">
      <c r="B24" s="516"/>
    </row>
    <row r="25" spans="2:13" ht="89.25" customHeight="1" x14ac:dyDescent="0.25">
      <c r="B25" s="783"/>
      <c r="C25" s="430"/>
      <c r="D25" s="431"/>
      <c r="E25" s="432"/>
      <c r="F25" s="784"/>
      <c r="G25" s="431"/>
      <c r="H25" s="785"/>
      <c r="I25" s="1277" t="s">
        <v>1061</v>
      </c>
      <c r="J25" s="1278"/>
      <c r="K25" s="429" t="s">
        <v>628</v>
      </c>
    </row>
    <row r="26" spans="2:13" ht="30" x14ac:dyDescent="0.25">
      <c r="B26" s="423" t="s">
        <v>50</v>
      </c>
      <c r="C26" s="424" t="s">
        <v>52</v>
      </c>
      <c r="D26" s="425" t="s">
        <v>64</v>
      </c>
      <c r="E26" s="426" t="s">
        <v>216</v>
      </c>
      <c r="F26" s="427" t="s">
        <v>214</v>
      </c>
      <c r="G26" s="425" t="s">
        <v>248</v>
      </c>
      <c r="H26" s="428" t="str">
        <f>Focus!C33</f>
        <v>2017</v>
      </c>
      <c r="I26" s="511" t="s">
        <v>812</v>
      </c>
      <c r="J26" s="770" t="s">
        <v>809</v>
      </c>
      <c r="K26" s="511" t="s">
        <v>626</v>
      </c>
    </row>
    <row r="27" spans="2:13" ht="15" x14ac:dyDescent="0.25">
      <c r="B27" s="429" t="s">
        <v>67</v>
      </c>
      <c r="C27" s="430"/>
      <c r="D27" s="431"/>
      <c r="E27" s="432"/>
      <c r="F27" s="430"/>
      <c r="G27" s="433"/>
      <c r="H27" s="496"/>
      <c r="I27" s="781"/>
      <c r="J27" s="778"/>
      <c r="K27" s="506"/>
      <c r="L27" s="477"/>
    </row>
    <row r="28" spans="2:13" ht="15" x14ac:dyDescent="0.2">
      <c r="B28" s="434" t="s">
        <v>215</v>
      </c>
      <c r="C28" s="435"/>
      <c r="D28" s="436"/>
      <c r="E28" s="437"/>
      <c r="F28" s="438"/>
      <c r="G28" s="439"/>
      <c r="H28" s="497"/>
      <c r="I28" s="438"/>
      <c r="J28" s="436"/>
      <c r="K28" s="507"/>
      <c r="L28" s="477"/>
    </row>
    <row r="29" spans="2:13" ht="28.5" x14ac:dyDescent="0.2">
      <c r="B29" s="440" t="s">
        <v>222</v>
      </c>
      <c r="C29" s="324" t="s">
        <v>337</v>
      </c>
      <c r="D29" s="442" t="s">
        <v>65</v>
      </c>
      <c r="E29" s="441" t="s">
        <v>217</v>
      </c>
      <c r="F29" s="325" t="s">
        <v>338</v>
      </c>
      <c r="G29" s="326"/>
      <c r="H29" s="498">
        <v>794</v>
      </c>
      <c r="I29" s="769"/>
      <c r="J29" s="442"/>
      <c r="K29" s="495" t="s">
        <v>107</v>
      </c>
      <c r="M29" s="513" t="s">
        <v>249</v>
      </c>
    </row>
    <row r="30" spans="2:13" ht="28.5" x14ac:dyDescent="0.2">
      <c r="B30" s="440" t="s">
        <v>223</v>
      </c>
      <c r="C30" s="324" t="s">
        <v>1092</v>
      </c>
      <c r="D30" s="442" t="s">
        <v>65</v>
      </c>
      <c r="E30" s="441" t="s">
        <v>217</v>
      </c>
      <c r="F30" s="325" t="s">
        <v>338</v>
      </c>
      <c r="G30" s="326"/>
      <c r="H30" s="498">
        <v>406.5</v>
      </c>
      <c r="I30" s="769"/>
      <c r="J30" s="442"/>
      <c r="K30" s="495" t="s">
        <v>107</v>
      </c>
      <c r="L30" s="477"/>
      <c r="M30" s="513" t="s">
        <v>249</v>
      </c>
    </row>
    <row r="31" spans="2:13" ht="28.5" x14ac:dyDescent="0.2">
      <c r="B31" s="440" t="s">
        <v>224</v>
      </c>
      <c r="C31" s="324" t="s">
        <v>1093</v>
      </c>
      <c r="D31" s="442" t="s">
        <v>65</v>
      </c>
      <c r="E31" s="441" t="s">
        <v>217</v>
      </c>
      <c r="F31" s="325" t="s">
        <v>338</v>
      </c>
      <c r="G31" s="326"/>
      <c r="H31" s="498">
        <v>18</v>
      </c>
      <c r="I31" s="769"/>
      <c r="J31" s="442"/>
      <c r="K31" s="495" t="s">
        <v>107</v>
      </c>
      <c r="L31" s="477"/>
      <c r="M31" s="513" t="s">
        <v>249</v>
      </c>
    </row>
    <row r="32" spans="2:13" ht="15" x14ac:dyDescent="0.2">
      <c r="B32" s="443" t="s">
        <v>225</v>
      </c>
      <c r="C32" s="437"/>
      <c r="D32" s="436" t="s">
        <v>65</v>
      </c>
      <c r="E32" s="437" t="s">
        <v>221</v>
      </c>
      <c r="F32" s="438"/>
      <c r="G32" s="439"/>
      <c r="H32" s="497"/>
      <c r="I32" s="769"/>
      <c r="J32" s="442"/>
      <c r="K32" s="444"/>
      <c r="L32" s="477"/>
      <c r="M32" s="513"/>
    </row>
    <row r="33" spans="2:14" ht="15" x14ac:dyDescent="0.2">
      <c r="B33" s="445" t="s">
        <v>226</v>
      </c>
      <c r="C33" s="165"/>
      <c r="D33" s="447" t="s">
        <v>65</v>
      </c>
      <c r="E33" s="446" t="s">
        <v>221</v>
      </c>
      <c r="F33" s="319"/>
      <c r="G33" s="320"/>
      <c r="H33" s="499"/>
      <c r="I33" s="775"/>
      <c r="J33" s="449"/>
      <c r="K33" s="512"/>
      <c r="L33" s="477"/>
      <c r="M33" s="513" t="s">
        <v>249</v>
      </c>
    </row>
    <row r="34" spans="2:14" ht="15" x14ac:dyDescent="0.2">
      <c r="B34" s="450" t="s">
        <v>227</v>
      </c>
      <c r="C34" s="165"/>
      <c r="D34" s="447" t="s">
        <v>65</v>
      </c>
      <c r="E34" s="446" t="s">
        <v>221</v>
      </c>
      <c r="F34" s="319"/>
      <c r="G34" s="320"/>
      <c r="H34" s="499"/>
      <c r="I34" s="775"/>
      <c r="J34" s="449"/>
      <c r="K34" s="512"/>
      <c r="L34" s="477"/>
      <c r="M34" s="513" t="s">
        <v>249</v>
      </c>
    </row>
    <row r="35" spans="2:14" ht="15" x14ac:dyDescent="0.2">
      <c r="B35" s="451" t="s">
        <v>228</v>
      </c>
      <c r="C35" s="452"/>
      <c r="D35" s="453"/>
      <c r="E35" s="454" t="s">
        <v>221</v>
      </c>
      <c r="F35" s="452"/>
      <c r="G35" s="455"/>
      <c r="H35" s="500"/>
      <c r="I35" s="771"/>
      <c r="J35" s="455"/>
      <c r="K35" s="508"/>
      <c r="L35" s="477"/>
      <c r="M35" s="513"/>
    </row>
    <row r="36" spans="2:14" ht="15.75" x14ac:dyDescent="0.25">
      <c r="B36" s="456" t="s">
        <v>66</v>
      </c>
      <c r="C36" s="457"/>
      <c r="D36" s="458"/>
      <c r="E36" s="459"/>
      <c r="F36" s="460"/>
      <c r="G36" s="461"/>
      <c r="H36" s="501"/>
      <c r="I36" s="772"/>
      <c r="J36" s="461"/>
      <c r="K36" s="509"/>
      <c r="L36" s="477"/>
      <c r="M36" s="513"/>
    </row>
    <row r="37" spans="2:14" ht="15" x14ac:dyDescent="0.2">
      <c r="B37" s="462" t="s">
        <v>229</v>
      </c>
      <c r="C37" s="413"/>
      <c r="D37" s="447" t="s">
        <v>55</v>
      </c>
      <c r="E37" s="446" t="s">
        <v>221</v>
      </c>
      <c r="F37" s="319" t="s">
        <v>757</v>
      </c>
      <c r="G37" s="320"/>
      <c r="H37" s="499">
        <v>-68000</v>
      </c>
      <c r="I37" s="804">
        <v>0.1</v>
      </c>
      <c r="J37" s="805">
        <v>0.2</v>
      </c>
      <c r="K37" s="512" t="s">
        <v>110</v>
      </c>
      <c r="L37" s="477"/>
      <c r="M37" s="513" t="s">
        <v>249</v>
      </c>
      <c r="N37" s="513"/>
    </row>
    <row r="38" spans="2:14" ht="15" x14ac:dyDescent="0.2">
      <c r="B38" s="462" t="s">
        <v>230</v>
      </c>
      <c r="C38" s="448"/>
      <c r="D38" s="447" t="s">
        <v>55</v>
      </c>
      <c r="E38" s="446" t="s">
        <v>221</v>
      </c>
      <c r="F38" s="786" t="s">
        <v>250</v>
      </c>
      <c r="G38" s="988"/>
      <c r="H38" s="786" t="s">
        <v>250</v>
      </c>
      <c r="I38" s="773"/>
      <c r="J38" s="779"/>
      <c r="K38" s="513"/>
      <c r="L38" s="477"/>
      <c r="M38" s="513"/>
    </row>
    <row r="39" spans="2:14" ht="15" x14ac:dyDescent="0.2">
      <c r="B39" s="464" t="s">
        <v>241</v>
      </c>
      <c r="C39" s="465"/>
      <c r="D39" s="466" t="s">
        <v>55</v>
      </c>
      <c r="E39" s="467" t="s">
        <v>221</v>
      </c>
      <c r="F39" s="465"/>
      <c r="G39" s="468"/>
      <c r="H39" s="503"/>
      <c r="I39" s="465"/>
      <c r="J39" s="466"/>
      <c r="K39" s="469"/>
      <c r="L39" s="477"/>
      <c r="M39" s="513"/>
    </row>
    <row r="40" spans="2:14" ht="15" x14ac:dyDescent="0.2">
      <c r="B40" s="470" t="s">
        <v>240</v>
      </c>
      <c r="C40" s="325" t="s">
        <v>344</v>
      </c>
      <c r="D40" s="442" t="s">
        <v>55</v>
      </c>
      <c r="E40" s="441" t="s">
        <v>221</v>
      </c>
      <c r="F40" s="325" t="s">
        <v>338</v>
      </c>
      <c r="G40" s="326"/>
      <c r="H40" s="498">
        <v>1</v>
      </c>
      <c r="I40" s="769"/>
      <c r="J40" s="782"/>
      <c r="K40" s="495" t="s">
        <v>107</v>
      </c>
      <c r="L40" s="477"/>
      <c r="M40" s="513" t="s">
        <v>249</v>
      </c>
    </row>
    <row r="41" spans="2:14" ht="15" x14ac:dyDescent="0.2">
      <c r="B41" s="470" t="s">
        <v>234</v>
      </c>
      <c r="C41" s="325"/>
      <c r="D41" s="442" t="s">
        <v>55</v>
      </c>
      <c r="E41" s="441" t="s">
        <v>236</v>
      </c>
      <c r="F41" s="325" t="s">
        <v>338</v>
      </c>
      <c r="G41" s="326"/>
      <c r="H41" s="1062">
        <v>1.5</v>
      </c>
      <c r="I41" s="769"/>
      <c r="J41" s="782"/>
      <c r="K41" s="495" t="s">
        <v>110</v>
      </c>
      <c r="L41" s="477"/>
      <c r="M41" s="513" t="s">
        <v>249</v>
      </c>
    </row>
    <row r="42" spans="2:14" ht="15" x14ac:dyDescent="0.2">
      <c r="B42" s="470" t="s">
        <v>235</v>
      </c>
      <c r="C42" s="325"/>
      <c r="D42" s="442" t="s">
        <v>55</v>
      </c>
      <c r="E42" s="441" t="s">
        <v>236</v>
      </c>
      <c r="F42" s="325" t="s">
        <v>338</v>
      </c>
      <c r="G42" s="326"/>
      <c r="H42" s="498">
        <v>2</v>
      </c>
      <c r="I42" s="769"/>
      <c r="J42" s="782"/>
      <c r="K42" s="495" t="s">
        <v>107</v>
      </c>
      <c r="L42" s="477"/>
      <c r="M42" s="513" t="s">
        <v>249</v>
      </c>
    </row>
    <row r="43" spans="2:14" ht="28.5" x14ac:dyDescent="0.2">
      <c r="B43" s="470" t="s">
        <v>233</v>
      </c>
      <c r="C43" s="325"/>
      <c r="D43" s="442" t="s">
        <v>55</v>
      </c>
      <c r="E43" s="441" t="s">
        <v>236</v>
      </c>
      <c r="F43" s="325" t="s">
        <v>338</v>
      </c>
      <c r="G43" s="326"/>
      <c r="H43" s="498">
        <v>1</v>
      </c>
      <c r="I43" s="769"/>
      <c r="J43" s="782"/>
      <c r="K43" s="495" t="s">
        <v>107</v>
      </c>
      <c r="L43" s="477"/>
      <c r="M43" s="513" t="s">
        <v>249</v>
      </c>
    </row>
    <row r="44" spans="2:14" ht="15" x14ac:dyDescent="0.2">
      <c r="B44" s="471" t="s">
        <v>247</v>
      </c>
      <c r="C44" s="472"/>
      <c r="D44" s="473" t="s">
        <v>55</v>
      </c>
      <c r="E44" s="474" t="s">
        <v>221</v>
      </c>
      <c r="F44" s="472"/>
      <c r="G44" s="475"/>
      <c r="H44" s="504"/>
      <c r="I44" s="774"/>
      <c r="J44" s="475"/>
      <c r="K44" s="510"/>
      <c r="L44" s="477"/>
      <c r="M44" s="513"/>
    </row>
    <row r="45" spans="2:14" ht="15" x14ac:dyDescent="0.2">
      <c r="B45" s="450" t="s">
        <v>231</v>
      </c>
      <c r="C45" s="448"/>
      <c r="D45" s="447" t="s">
        <v>55</v>
      </c>
      <c r="E45" s="446" t="s">
        <v>221</v>
      </c>
      <c r="F45" s="448"/>
      <c r="G45" s="449"/>
      <c r="H45" s="502"/>
      <c r="I45" s="775"/>
      <c r="J45" s="449"/>
      <c r="K45" s="463"/>
      <c r="L45" s="477"/>
      <c r="M45" s="513"/>
    </row>
    <row r="46" spans="2:14" ht="71.25" x14ac:dyDescent="0.2">
      <c r="B46" s="462" t="s">
        <v>244</v>
      </c>
      <c r="C46" s="319" t="s">
        <v>345</v>
      </c>
      <c r="D46" s="447" t="s">
        <v>55</v>
      </c>
      <c r="E46" s="446" t="s">
        <v>341</v>
      </c>
      <c r="F46" s="319" t="s">
        <v>338</v>
      </c>
      <c r="G46" s="320" t="s">
        <v>487</v>
      </c>
      <c r="H46" s="499">
        <v>-19345</v>
      </c>
      <c r="I46" s="804">
        <v>0</v>
      </c>
      <c r="J46" s="805">
        <v>0</v>
      </c>
      <c r="K46" s="512" t="s">
        <v>110</v>
      </c>
      <c r="L46" s="477"/>
      <c r="M46" s="513" t="s">
        <v>249</v>
      </c>
    </row>
    <row r="47" spans="2:14" ht="15" x14ac:dyDescent="0.2">
      <c r="B47" s="131" t="s">
        <v>99</v>
      </c>
      <c r="C47" s="72"/>
      <c r="D47" s="476" t="s">
        <v>55</v>
      </c>
      <c r="E47" s="72"/>
      <c r="F47" s="73"/>
      <c r="G47" s="178"/>
      <c r="H47" s="505"/>
      <c r="I47" s="73"/>
      <c r="J47" s="768"/>
      <c r="K47" s="495"/>
      <c r="L47" s="477"/>
      <c r="M47" s="513" t="s">
        <v>249</v>
      </c>
    </row>
    <row r="48" spans="2:14" ht="15" x14ac:dyDescent="0.2">
      <c r="B48" s="131"/>
      <c r="C48" s="73"/>
      <c r="D48" s="476" t="s">
        <v>55</v>
      </c>
      <c r="E48" s="72"/>
      <c r="F48" s="73"/>
      <c r="G48" s="178"/>
      <c r="H48" s="505"/>
      <c r="I48" s="73"/>
      <c r="J48" s="768"/>
      <c r="K48" s="495"/>
      <c r="L48" s="477"/>
      <c r="M48" s="513" t="s">
        <v>249</v>
      </c>
    </row>
    <row r="49" spans="1:13" ht="15" x14ac:dyDescent="0.2">
      <c r="B49" s="131"/>
      <c r="C49" s="73"/>
      <c r="D49" s="476" t="s">
        <v>55</v>
      </c>
      <c r="E49" s="72"/>
      <c r="F49" s="73"/>
      <c r="G49" s="178"/>
      <c r="H49" s="505"/>
      <c r="I49" s="73"/>
      <c r="J49" s="768"/>
      <c r="K49" s="495"/>
      <c r="L49" s="477"/>
      <c r="M49" s="513" t="s">
        <v>249</v>
      </c>
    </row>
    <row r="50" spans="1:13" ht="15" x14ac:dyDescent="0.2">
      <c r="B50" s="131"/>
      <c r="C50" s="73"/>
      <c r="D50" s="476" t="s">
        <v>55</v>
      </c>
      <c r="E50" s="72"/>
      <c r="F50" s="73"/>
      <c r="G50" s="178"/>
      <c r="H50" s="505"/>
      <c r="I50" s="73"/>
      <c r="J50" s="768"/>
      <c r="K50" s="495"/>
      <c r="L50" s="477"/>
      <c r="M50" s="513" t="s">
        <v>249</v>
      </c>
    </row>
    <row r="51" spans="1:13" ht="15" x14ac:dyDescent="0.2">
      <c r="B51" s="451" t="s">
        <v>213</v>
      </c>
      <c r="C51" s="452"/>
      <c r="D51" s="453"/>
      <c r="E51" s="454"/>
      <c r="F51" s="452"/>
      <c r="G51" s="455"/>
      <c r="H51" s="500"/>
      <c r="I51" s="73"/>
      <c r="J51" s="768"/>
      <c r="K51" s="508"/>
      <c r="L51" s="477"/>
      <c r="M51" s="513"/>
    </row>
    <row r="52" spans="1:13" s="477" customFormat="1" ht="15" x14ac:dyDescent="0.25">
      <c r="B52" s="478" t="s">
        <v>232</v>
      </c>
      <c r="C52" s="457"/>
      <c r="D52" s="479"/>
      <c r="E52" s="480"/>
      <c r="F52" s="457"/>
      <c r="G52" s="461"/>
      <c r="H52" s="514">
        <f>H35+H51</f>
        <v>0</v>
      </c>
      <c r="I52" s="776"/>
      <c r="J52" s="780"/>
      <c r="K52" s="481"/>
    </row>
    <row r="53" spans="1:13" x14ac:dyDescent="0.2">
      <c r="C53" s="477"/>
      <c r="D53" s="477"/>
      <c r="E53" s="477"/>
      <c r="F53" s="477"/>
      <c r="G53" s="477"/>
      <c r="H53" s="477"/>
      <c r="I53" s="477"/>
      <c r="J53" s="477"/>
    </row>
    <row r="54" spans="1:13" ht="15" x14ac:dyDescent="0.2">
      <c r="B54" s="626" t="s">
        <v>123</v>
      </c>
      <c r="C54" s="477"/>
      <c r="D54" s="477"/>
      <c r="E54" s="477"/>
      <c r="F54" s="477"/>
      <c r="G54" s="477"/>
      <c r="H54" s="477"/>
      <c r="I54" s="477"/>
      <c r="J54" s="477"/>
    </row>
    <row r="55" spans="1:13" ht="15" x14ac:dyDescent="0.25">
      <c r="A55" s="482"/>
      <c r="B55" s="483"/>
      <c r="C55" s="482"/>
      <c r="D55" s="477"/>
      <c r="E55" s="477"/>
      <c r="F55" s="477"/>
      <c r="G55" s="477"/>
      <c r="H55" s="477"/>
      <c r="I55" s="477"/>
      <c r="J55" s="477"/>
    </row>
    <row r="56" spans="1:13" x14ac:dyDescent="0.2">
      <c r="A56" s="482"/>
      <c r="B56" s="482"/>
      <c r="C56" s="482"/>
      <c r="D56" s="477"/>
      <c r="E56" s="477"/>
      <c r="F56" s="477"/>
      <c r="G56" s="477"/>
      <c r="H56" s="477"/>
      <c r="I56" s="477"/>
      <c r="J56" s="477"/>
    </row>
    <row r="57" spans="1:13" x14ac:dyDescent="0.2">
      <c r="A57" s="482"/>
      <c r="B57" s="482"/>
      <c r="C57" s="482"/>
      <c r="D57" s="477"/>
      <c r="E57" s="477"/>
      <c r="F57" s="477"/>
      <c r="G57" s="477"/>
      <c r="H57" s="477"/>
      <c r="I57" s="477"/>
      <c r="J57" s="477"/>
    </row>
    <row r="58" spans="1:13" x14ac:dyDescent="0.2">
      <c r="A58" s="482"/>
      <c r="B58" s="482"/>
      <c r="C58" s="482"/>
      <c r="D58" s="477"/>
      <c r="E58" s="477"/>
      <c r="F58" s="477"/>
      <c r="G58" s="477"/>
      <c r="H58" s="477"/>
      <c r="I58" s="477"/>
      <c r="J58" s="477"/>
    </row>
    <row r="59" spans="1:13" x14ac:dyDescent="0.2">
      <c r="A59" s="482"/>
      <c r="B59" s="482"/>
      <c r="C59" s="482"/>
      <c r="D59" s="477"/>
      <c r="E59" s="477"/>
    </row>
    <row r="60" spans="1:13" ht="15" x14ac:dyDescent="0.25">
      <c r="A60" s="482"/>
      <c r="B60" s="482"/>
      <c r="C60" s="484"/>
      <c r="D60" s="477"/>
      <c r="E60" s="477"/>
    </row>
    <row r="61" spans="1:13" ht="15" x14ac:dyDescent="0.25">
      <c r="A61" s="482"/>
      <c r="B61" s="485"/>
      <c r="C61" s="486"/>
      <c r="D61" s="477"/>
      <c r="E61" s="477"/>
    </row>
    <row r="62" spans="1:13" x14ac:dyDescent="0.2">
      <c r="A62" s="482"/>
      <c r="B62" s="487"/>
      <c r="C62" s="488"/>
      <c r="D62" s="477"/>
      <c r="E62" s="477"/>
    </row>
    <row r="63" spans="1:13" x14ac:dyDescent="0.2">
      <c r="A63" s="482"/>
      <c r="B63" s="487"/>
      <c r="C63" s="488"/>
      <c r="D63" s="477"/>
      <c r="E63" s="477"/>
    </row>
    <row r="64" spans="1:13" x14ac:dyDescent="0.2">
      <c r="A64" s="482"/>
      <c r="B64" s="487"/>
      <c r="C64" s="488"/>
      <c r="D64" s="477"/>
      <c r="E64" s="477"/>
    </row>
    <row r="65" spans="1:3" x14ac:dyDescent="0.2">
      <c r="A65" s="482"/>
      <c r="B65" s="482"/>
      <c r="C65" s="482"/>
    </row>
    <row r="66" spans="1:3" x14ac:dyDescent="0.2">
      <c r="A66" s="482"/>
      <c r="B66" s="482"/>
      <c r="C66" s="482"/>
    </row>
    <row r="67" spans="1:3" x14ac:dyDescent="0.2">
      <c r="A67" s="482"/>
      <c r="B67" s="482"/>
      <c r="C67" s="482"/>
    </row>
    <row r="68" spans="1:3" x14ac:dyDescent="0.2">
      <c r="A68" s="482"/>
      <c r="B68" s="482"/>
      <c r="C68" s="482"/>
    </row>
    <row r="69" spans="1:3" x14ac:dyDescent="0.2">
      <c r="A69" s="482"/>
      <c r="B69" s="482"/>
      <c r="C69" s="482"/>
    </row>
    <row r="70" spans="1:3" x14ac:dyDescent="0.2">
      <c r="A70" s="482"/>
      <c r="B70" s="482"/>
      <c r="C70" s="482"/>
    </row>
    <row r="71" spans="1:3" ht="15" x14ac:dyDescent="0.25">
      <c r="A71" s="482"/>
      <c r="B71" s="489"/>
      <c r="C71" s="482"/>
    </row>
    <row r="72" spans="1:3" x14ac:dyDescent="0.2">
      <c r="A72" s="482"/>
      <c r="B72" s="482"/>
      <c r="C72" s="482"/>
    </row>
    <row r="73" spans="1:3" ht="15" x14ac:dyDescent="0.25">
      <c r="A73" s="482"/>
      <c r="B73" s="482"/>
      <c r="C73" s="484"/>
    </row>
    <row r="74" spans="1:3" ht="15" x14ac:dyDescent="0.25">
      <c r="A74" s="490"/>
      <c r="B74" s="490"/>
      <c r="C74" s="491"/>
    </row>
    <row r="75" spans="1:3" ht="15" x14ac:dyDescent="0.2">
      <c r="A75" s="492"/>
      <c r="B75" s="487"/>
    </row>
    <row r="76" spans="1:3" ht="15" x14ac:dyDescent="0.2">
      <c r="A76" s="492"/>
      <c r="B76" s="487"/>
    </row>
  </sheetData>
  <mergeCells count="1">
    <mergeCell ref="I25:J25"/>
  </mergeCells>
  <dataValidations count="3">
    <dataValidation allowBlank="1" showInputMessage="1" showErrorMessage="1" prompt="Enter any further categories of cost here. Only enter costs paid by NE. Enter inputs made by others further up the table._x000a__x000a_If you chose to separate inputs into legal/moral obligations and nature conservation, use a separate row for each." sqref="B47:B50"/>
    <dataValidation type="list" allowBlank="1" showInputMessage="1" showErrorMessage="1" sqref="D28:D34 D37:D50">
      <formula1>"NE, Not NE"</formula1>
    </dataValidation>
    <dataValidation type="list" allowBlank="1" showInputMessage="1" showErrorMessage="1" error="Select Yes or No from drop down list" sqref="K29:K31 K46:K50 K37 K33:K34 K40:K43">
      <formula1>$AD$2:$AD$3</formula1>
    </dataValidation>
  </dataValidations>
  <hyperlinks>
    <hyperlink ref="B12" location="'Tip Non-Attrib'!A1" display="How to complete this sheet - select here."/>
    <hyperlink ref="M29" location="'Cost Projections'!I32" display="Click here to enter projections."/>
    <hyperlink ref="M30:M31" location="'Cost Projections'!I26" display="Click here to enter projections."/>
    <hyperlink ref="M33:M34" location="'Cost Projections'!I26" display="Click here to enter projections."/>
    <hyperlink ref="M37" location="'Cost Projections'!I40" display="Click here to enter projections."/>
    <hyperlink ref="M41:M42" location="'Cost Projections'!I26" display="Click here to enter projections."/>
    <hyperlink ref="M46:M50" location="'Cost Projections'!I26" display="Click here to enter projections."/>
    <hyperlink ref="M30" location="'Cost Projections'!I33" display="Click here to enter projections."/>
    <hyperlink ref="M31" location="'Cost Projections'!I34" display="Click here to enter projections."/>
    <hyperlink ref="M41" location="'Cost Projections'!I44" display="Click here to enter projections."/>
    <hyperlink ref="M42" location="'Cost Projections'!I45" display="Click here to enter projections."/>
    <hyperlink ref="M46" location="'Cost Projections'!I49" display="Click here to enter projections."/>
    <hyperlink ref="M47" location="'Cost Projections'!I50" display="Click here to enter projections."/>
    <hyperlink ref="M48" location="'Cost Projections'!I51" display="Click here to enter projections."/>
    <hyperlink ref="M50" location="'Cost Projections'!I53" display="Click here to enter projections."/>
    <hyperlink ref="M49" location="'Cost Projections'!I52" display="Click here to enter projections."/>
    <hyperlink ref="B12:C12" location="'Tip CostInitial'!A1" display="How to complete this sheet - select here."/>
    <hyperlink ref="B54" location="'Cost Projections'!A1" display="Go to next sheet"/>
    <hyperlink ref="M40" location="'Cost Projections'!I43" display="Click here to enter projections."/>
    <hyperlink ref="H38" location="'Cost Projections'!H41" display="Don't enter. Click here to enter projections"/>
    <hyperlink ref="F38" location="'Cost Projections'!F41" display="Don't enter. Click here to enter projections"/>
    <hyperlink ref="M33" location="'Cost Projections'!I36" display="Click here to enter projections."/>
    <hyperlink ref="M34" location="'Cost Projections'!I37" display="Click here to enter projections."/>
    <hyperlink ref="M43" location="'Cost Projections'!I46" display="Click here to enter projections."/>
  </hyperlinks>
  <pageMargins left="0.7" right="0.7" top="0.75" bottom="0.75" header="0.3" footer="0.3"/>
  <pageSetup paperSize="9"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E3EB"/>
  </sheetPr>
  <dimension ref="A2:AD90"/>
  <sheetViews>
    <sheetView zoomScale="80" zoomScaleNormal="80" workbookViewId="0"/>
  </sheetViews>
  <sheetFormatPr defaultRowHeight="14.25" x14ac:dyDescent="0.2"/>
  <cols>
    <col min="1" max="1" width="4.77734375" style="328" customWidth="1"/>
    <col min="2" max="2" width="49.33203125" style="328" customWidth="1"/>
    <col min="3" max="3" width="24.77734375" style="328" customWidth="1"/>
    <col min="4" max="5" width="8.44140625" style="328" customWidth="1"/>
    <col min="6" max="6" width="16.21875" style="328" customWidth="1"/>
    <col min="7" max="7" width="22" style="328" customWidth="1"/>
    <col min="8" max="27" width="10.33203125" style="328" customWidth="1"/>
    <col min="28" max="28" width="14.21875" style="328" customWidth="1"/>
    <col min="29" max="29" width="19.33203125" style="328" customWidth="1"/>
    <col min="30" max="104" width="8.88671875" style="328"/>
    <col min="105" max="105" width="26.21875" style="328" customWidth="1"/>
    <col min="106" max="16384" width="8.88671875" style="328"/>
  </cols>
  <sheetData>
    <row r="2" spans="2:8" ht="15.75" x14ac:dyDescent="0.25">
      <c r="B2" s="329" t="s">
        <v>245</v>
      </c>
    </row>
    <row r="3" spans="2:8" x14ac:dyDescent="0.2">
      <c r="G3" s="330"/>
      <c r="H3" s="331"/>
    </row>
    <row r="4" spans="2:8" x14ac:dyDescent="0.2">
      <c r="B4" s="330" t="s">
        <v>4</v>
      </c>
      <c r="C4" s="333" t="str">
        <f>Focus!C16</f>
        <v>Shapwick Heath NNR</v>
      </c>
      <c r="G4" s="330"/>
      <c r="H4" s="331"/>
    </row>
    <row r="5" spans="2:8" ht="15" x14ac:dyDescent="0.25">
      <c r="B5" s="332" t="s">
        <v>85</v>
      </c>
      <c r="G5" s="330"/>
    </row>
    <row r="6" spans="2:8" x14ac:dyDescent="0.2">
      <c r="B6" s="328" t="s">
        <v>891</v>
      </c>
      <c r="G6" s="330"/>
    </row>
    <row r="7" spans="2:8" x14ac:dyDescent="0.2">
      <c r="B7" s="328" t="s">
        <v>1075</v>
      </c>
      <c r="G7" s="330"/>
    </row>
    <row r="8" spans="2:8" x14ac:dyDescent="0.2">
      <c r="B8" s="328" t="s">
        <v>1076</v>
      </c>
      <c r="G8" s="330"/>
    </row>
    <row r="9" spans="2:8" x14ac:dyDescent="0.2">
      <c r="G9" s="330"/>
    </row>
    <row r="10" spans="2:8" x14ac:dyDescent="0.2">
      <c r="B10" s="519" t="s">
        <v>210</v>
      </c>
      <c r="G10" s="330"/>
    </row>
    <row r="11" spans="2:8" x14ac:dyDescent="0.2">
      <c r="B11" s="519" t="s">
        <v>211</v>
      </c>
    </row>
    <row r="13" spans="2:8" x14ac:dyDescent="0.2">
      <c r="B13" s="518" t="s">
        <v>873</v>
      </c>
    </row>
    <row r="14" spans="2:8" x14ac:dyDescent="0.2">
      <c r="B14" s="517" t="s">
        <v>639</v>
      </c>
    </row>
    <row r="15" spans="2:8" x14ac:dyDescent="0.2">
      <c r="B15" s="517" t="s">
        <v>640</v>
      </c>
    </row>
    <row r="16" spans="2:8" x14ac:dyDescent="0.2">
      <c r="B16" s="517"/>
    </row>
    <row r="17" spans="2:29" x14ac:dyDescent="0.2">
      <c r="B17" s="519" t="s">
        <v>637</v>
      </c>
      <c r="C17" s="519"/>
      <c r="D17" s="519"/>
      <c r="E17" s="519"/>
      <c r="F17" s="519"/>
      <c r="G17" s="519"/>
    </row>
    <row r="18" spans="2:29" x14ac:dyDescent="0.2">
      <c r="B18" s="519" t="s">
        <v>874</v>
      </c>
      <c r="C18" s="519"/>
      <c r="D18" s="519"/>
      <c r="E18" s="519"/>
      <c r="F18" s="519"/>
      <c r="G18" s="519"/>
    </row>
    <row r="19" spans="2:29" x14ac:dyDescent="0.2">
      <c r="B19" s="519" t="s">
        <v>638</v>
      </c>
      <c r="C19" s="519"/>
      <c r="D19" s="519"/>
      <c r="E19" s="519"/>
      <c r="F19" s="519"/>
    </row>
    <row r="20" spans="2:29" x14ac:dyDescent="0.2">
      <c r="B20" s="799" t="s">
        <v>810</v>
      </c>
      <c r="C20" s="519"/>
      <c r="D20" s="519"/>
      <c r="E20" s="519"/>
      <c r="F20" s="519"/>
      <c r="G20" s="777">
        <v>0</v>
      </c>
      <c r="H20" s="328" t="s">
        <v>269</v>
      </c>
    </row>
    <row r="21" spans="2:29" x14ac:dyDescent="0.2">
      <c r="B21" s="799" t="s">
        <v>811</v>
      </c>
      <c r="G21" s="777">
        <v>0</v>
      </c>
      <c r="H21" s="328" t="s">
        <v>269</v>
      </c>
    </row>
    <row r="22" spans="2:29" x14ac:dyDescent="0.2">
      <c r="B22" s="799"/>
    </row>
    <row r="23" spans="2:29" x14ac:dyDescent="0.2">
      <c r="B23" s="331" t="s">
        <v>875</v>
      </c>
    </row>
    <row r="24" spans="2:29" x14ac:dyDescent="0.2">
      <c r="B24" s="986" t="s">
        <v>825</v>
      </c>
    </row>
    <row r="25" spans="2:29" x14ac:dyDescent="0.2">
      <c r="B25" s="986" t="s">
        <v>826</v>
      </c>
    </row>
    <row r="26" spans="2:29" x14ac:dyDescent="0.2">
      <c r="B26" s="1189" t="s">
        <v>1065</v>
      </c>
    </row>
    <row r="28" spans="2:29" x14ac:dyDescent="0.2">
      <c r="B28" s="520" t="s">
        <v>257</v>
      </c>
      <c r="C28" s="517"/>
    </row>
    <row r="30" spans="2:29" ht="15" x14ac:dyDescent="0.25">
      <c r="C30" s="334"/>
      <c r="D30" s="335"/>
      <c r="E30" s="336"/>
      <c r="F30" s="334"/>
      <c r="G30" s="335"/>
      <c r="H30" s="1279" t="s">
        <v>1017</v>
      </c>
      <c r="I30" s="1280"/>
      <c r="J30" s="1280"/>
      <c r="K30" s="1280"/>
      <c r="L30" s="1280"/>
      <c r="M30" s="1280"/>
      <c r="N30" s="1280"/>
      <c r="O30" s="1280"/>
      <c r="P30" s="1280"/>
      <c r="Q30" s="1280"/>
      <c r="R30" s="1280"/>
      <c r="S30" s="1280"/>
      <c r="T30" s="1280"/>
      <c r="U30" s="1280"/>
      <c r="V30" s="1280"/>
      <c r="W30" s="1280"/>
      <c r="X30" s="1280"/>
      <c r="Y30" s="1280"/>
      <c r="Z30" s="1280"/>
      <c r="AA30" s="1280"/>
      <c r="AB30" s="918"/>
    </row>
    <row r="31" spans="2:29" ht="45" x14ac:dyDescent="0.25">
      <c r="B31" s="337" t="s">
        <v>50</v>
      </c>
      <c r="C31" s="338" t="s">
        <v>52</v>
      </c>
      <c r="D31" s="339" t="s">
        <v>64</v>
      </c>
      <c r="E31" s="340" t="s">
        <v>216</v>
      </c>
      <c r="F31" s="341" t="s">
        <v>214</v>
      </c>
      <c r="G31" s="493" t="s">
        <v>248</v>
      </c>
      <c r="H31" s="621" t="str">
        <f>'G &amp; S Projections'!E18</f>
        <v>2017</v>
      </c>
      <c r="I31" s="622">
        <f>'G &amp; S Projections'!F18</f>
        <v>2018</v>
      </c>
      <c r="J31" s="622">
        <f>'G &amp; S Projections'!G18</f>
        <v>2019</v>
      </c>
      <c r="K31" s="622">
        <f>'G &amp; S Projections'!H18</f>
        <v>2020</v>
      </c>
      <c r="L31" s="622">
        <f>'G &amp; S Projections'!I18</f>
        <v>2021</v>
      </c>
      <c r="M31" s="622">
        <f>'G &amp; S Projections'!J18</f>
        <v>2022</v>
      </c>
      <c r="N31" s="622">
        <f>'G &amp; S Projections'!K18</f>
        <v>2023</v>
      </c>
      <c r="O31" s="622">
        <f>'G &amp; S Projections'!L18</f>
        <v>2024</v>
      </c>
      <c r="P31" s="622">
        <f>'G &amp; S Projections'!M18</f>
        <v>2025</v>
      </c>
      <c r="Q31" s="622">
        <f>'G &amp; S Projections'!N18</f>
        <v>2026</v>
      </c>
      <c r="R31" s="622">
        <f>'G &amp; S Projections'!O18</f>
        <v>2027</v>
      </c>
      <c r="S31" s="622">
        <f>'G &amp; S Projections'!P18</f>
        <v>2028</v>
      </c>
      <c r="T31" s="622">
        <f>'G &amp; S Projections'!Q18</f>
        <v>2029</v>
      </c>
      <c r="U31" s="622">
        <f>'G &amp; S Projections'!R18</f>
        <v>2030</v>
      </c>
      <c r="V31" s="622">
        <f>'G &amp; S Projections'!S18</f>
        <v>2031</v>
      </c>
      <c r="W31" s="622">
        <f>'G &amp; S Projections'!T18</f>
        <v>2032</v>
      </c>
      <c r="X31" s="622">
        <f>'G &amp; S Projections'!U18</f>
        <v>2033</v>
      </c>
      <c r="Y31" s="622">
        <f>'G &amp; S Projections'!V18</f>
        <v>2034</v>
      </c>
      <c r="Z31" s="622">
        <f>'G &amp; S Projections'!W18</f>
        <v>2035</v>
      </c>
      <c r="AA31" s="622">
        <f>'G &amp; S Projections'!X18</f>
        <v>2036</v>
      </c>
      <c r="AB31" s="920" t="s">
        <v>1018</v>
      </c>
      <c r="AC31" s="340" t="s">
        <v>1019</v>
      </c>
    </row>
    <row r="32" spans="2:29" ht="15" x14ac:dyDescent="0.25">
      <c r="B32" s="342" t="s">
        <v>67</v>
      </c>
      <c r="C32" s="343"/>
      <c r="D32" s="344"/>
      <c r="E32" s="345"/>
      <c r="F32" s="343"/>
      <c r="G32" s="346"/>
      <c r="H32" s="347"/>
      <c r="I32" s="348"/>
      <c r="J32" s="348"/>
      <c r="K32" s="348"/>
      <c r="L32" s="348"/>
      <c r="M32" s="348"/>
      <c r="N32" s="348"/>
      <c r="O32" s="348"/>
      <c r="P32" s="348"/>
      <c r="Q32" s="348"/>
      <c r="R32" s="348"/>
      <c r="S32" s="348"/>
      <c r="T32" s="348"/>
      <c r="U32" s="348"/>
      <c r="V32" s="348"/>
      <c r="W32" s="348"/>
      <c r="X32" s="348"/>
      <c r="Y32" s="348"/>
      <c r="Z32" s="348"/>
      <c r="AA32" s="348"/>
      <c r="AB32" s="921"/>
      <c r="AC32" s="922"/>
    </row>
    <row r="33" spans="2:30" ht="15" x14ac:dyDescent="0.2">
      <c r="B33" s="349" t="s">
        <v>215</v>
      </c>
      <c r="C33" s="350"/>
      <c r="D33" s="351"/>
      <c r="E33" s="352"/>
      <c r="F33" s="353"/>
      <c r="G33" s="354"/>
      <c r="H33" s="355"/>
      <c r="I33" s="355"/>
      <c r="J33" s="355"/>
      <c r="K33" s="355"/>
      <c r="L33" s="355"/>
      <c r="M33" s="355"/>
      <c r="N33" s="355"/>
      <c r="O33" s="355"/>
      <c r="P33" s="355"/>
      <c r="Q33" s="355"/>
      <c r="R33" s="355"/>
      <c r="S33" s="355"/>
      <c r="T33" s="355"/>
      <c r="U33" s="355"/>
      <c r="V33" s="355"/>
      <c r="W33" s="355"/>
      <c r="X33" s="355"/>
      <c r="Y33" s="355"/>
      <c r="Z33" s="355"/>
      <c r="AA33" s="355"/>
      <c r="AB33" s="919"/>
      <c r="AC33" s="598"/>
    </row>
    <row r="34" spans="2:30" ht="28.5" x14ac:dyDescent="0.2">
      <c r="B34" s="356" t="s">
        <v>222</v>
      </c>
      <c r="C34" s="324"/>
      <c r="D34" s="358" t="s">
        <v>65</v>
      </c>
      <c r="E34" s="357" t="s">
        <v>217</v>
      </c>
      <c r="F34" s="325" t="s">
        <v>486</v>
      </c>
      <c r="G34" s="326"/>
      <c r="H34" s="359">
        <f>'Cost Initial'!$H29</f>
        <v>794</v>
      </c>
      <c r="I34" s="327">
        <f>$H34</f>
        <v>794</v>
      </c>
      <c r="J34" s="327">
        <f t="shared" ref="J34:AA39" si="0">$H34</f>
        <v>794</v>
      </c>
      <c r="K34" s="327">
        <f t="shared" si="0"/>
        <v>794</v>
      </c>
      <c r="L34" s="327">
        <f t="shared" si="0"/>
        <v>794</v>
      </c>
      <c r="M34" s="327">
        <f t="shared" si="0"/>
        <v>794</v>
      </c>
      <c r="N34" s="327">
        <f t="shared" si="0"/>
        <v>794</v>
      </c>
      <c r="O34" s="327">
        <f t="shared" si="0"/>
        <v>794</v>
      </c>
      <c r="P34" s="327">
        <f t="shared" si="0"/>
        <v>794</v>
      </c>
      <c r="Q34" s="327">
        <f t="shared" si="0"/>
        <v>794</v>
      </c>
      <c r="R34" s="327">
        <f t="shared" si="0"/>
        <v>794</v>
      </c>
      <c r="S34" s="327">
        <f t="shared" si="0"/>
        <v>794</v>
      </c>
      <c r="T34" s="327">
        <f t="shared" si="0"/>
        <v>794</v>
      </c>
      <c r="U34" s="327">
        <f t="shared" si="0"/>
        <v>794</v>
      </c>
      <c r="V34" s="327">
        <f t="shared" si="0"/>
        <v>794</v>
      </c>
      <c r="W34" s="327">
        <f t="shared" si="0"/>
        <v>794</v>
      </c>
      <c r="X34" s="327">
        <f t="shared" si="0"/>
        <v>794</v>
      </c>
      <c r="Y34" s="327">
        <f t="shared" si="0"/>
        <v>794</v>
      </c>
      <c r="Z34" s="327">
        <f t="shared" si="0"/>
        <v>794</v>
      </c>
      <c r="AA34" s="327">
        <f t="shared" si="0"/>
        <v>794</v>
      </c>
      <c r="AB34" s="919"/>
      <c r="AC34" s="598"/>
    </row>
    <row r="35" spans="2:30" ht="28.5" x14ac:dyDescent="0.2">
      <c r="B35" s="356" t="s">
        <v>223</v>
      </c>
      <c r="C35" s="324"/>
      <c r="D35" s="358" t="s">
        <v>65</v>
      </c>
      <c r="E35" s="357" t="s">
        <v>217</v>
      </c>
      <c r="F35" s="325" t="s">
        <v>486</v>
      </c>
      <c r="G35" s="326"/>
      <c r="H35" s="359">
        <f>'Cost Initial'!$H30</f>
        <v>406.5</v>
      </c>
      <c r="I35" s="327">
        <f t="shared" ref="I35:I36" si="1">$H35</f>
        <v>406.5</v>
      </c>
      <c r="J35" s="327">
        <f t="shared" si="0"/>
        <v>406.5</v>
      </c>
      <c r="K35" s="327">
        <f t="shared" si="0"/>
        <v>406.5</v>
      </c>
      <c r="L35" s="327">
        <f t="shared" si="0"/>
        <v>406.5</v>
      </c>
      <c r="M35" s="327">
        <f t="shared" si="0"/>
        <v>406.5</v>
      </c>
      <c r="N35" s="327">
        <f t="shared" si="0"/>
        <v>406.5</v>
      </c>
      <c r="O35" s="327">
        <f t="shared" si="0"/>
        <v>406.5</v>
      </c>
      <c r="P35" s="327">
        <f t="shared" si="0"/>
        <v>406.5</v>
      </c>
      <c r="Q35" s="327">
        <f t="shared" si="0"/>
        <v>406.5</v>
      </c>
      <c r="R35" s="327">
        <f t="shared" si="0"/>
        <v>406.5</v>
      </c>
      <c r="S35" s="327">
        <f t="shared" si="0"/>
        <v>406.5</v>
      </c>
      <c r="T35" s="327">
        <f t="shared" si="0"/>
        <v>406.5</v>
      </c>
      <c r="U35" s="327">
        <f t="shared" si="0"/>
        <v>406.5</v>
      </c>
      <c r="V35" s="327">
        <f t="shared" si="0"/>
        <v>406.5</v>
      </c>
      <c r="W35" s="327">
        <f t="shared" si="0"/>
        <v>406.5</v>
      </c>
      <c r="X35" s="327">
        <f t="shared" si="0"/>
        <v>406.5</v>
      </c>
      <c r="Y35" s="327">
        <f t="shared" si="0"/>
        <v>406.5</v>
      </c>
      <c r="Z35" s="327">
        <f t="shared" si="0"/>
        <v>406.5</v>
      </c>
      <c r="AA35" s="327">
        <f t="shared" si="0"/>
        <v>406.5</v>
      </c>
      <c r="AB35" s="919"/>
      <c r="AC35" s="598"/>
    </row>
    <row r="36" spans="2:30" ht="28.5" x14ac:dyDescent="0.2">
      <c r="B36" s="356" t="s">
        <v>224</v>
      </c>
      <c r="C36" s="324"/>
      <c r="D36" s="358" t="s">
        <v>65</v>
      </c>
      <c r="E36" s="357" t="s">
        <v>217</v>
      </c>
      <c r="F36" s="325" t="s">
        <v>486</v>
      </c>
      <c r="G36" s="326"/>
      <c r="H36" s="359">
        <f>'Cost Initial'!$H31</f>
        <v>18</v>
      </c>
      <c r="I36" s="327">
        <f t="shared" si="1"/>
        <v>18</v>
      </c>
      <c r="J36" s="327">
        <f t="shared" si="0"/>
        <v>18</v>
      </c>
      <c r="K36" s="327">
        <f t="shared" si="0"/>
        <v>18</v>
      </c>
      <c r="L36" s="327">
        <f t="shared" si="0"/>
        <v>18</v>
      </c>
      <c r="M36" s="327">
        <f t="shared" si="0"/>
        <v>18</v>
      </c>
      <c r="N36" s="327">
        <f t="shared" si="0"/>
        <v>18</v>
      </c>
      <c r="O36" s="327">
        <f t="shared" si="0"/>
        <v>18</v>
      </c>
      <c r="P36" s="327">
        <f t="shared" si="0"/>
        <v>18</v>
      </c>
      <c r="Q36" s="327">
        <f t="shared" si="0"/>
        <v>18</v>
      </c>
      <c r="R36" s="327">
        <f t="shared" si="0"/>
        <v>18</v>
      </c>
      <c r="S36" s="327">
        <f t="shared" si="0"/>
        <v>18</v>
      </c>
      <c r="T36" s="327">
        <f t="shared" si="0"/>
        <v>18</v>
      </c>
      <c r="U36" s="327">
        <f t="shared" si="0"/>
        <v>18</v>
      </c>
      <c r="V36" s="327">
        <f t="shared" si="0"/>
        <v>18</v>
      </c>
      <c r="W36" s="327">
        <f t="shared" si="0"/>
        <v>18</v>
      </c>
      <c r="X36" s="327">
        <f t="shared" si="0"/>
        <v>18</v>
      </c>
      <c r="Y36" s="327">
        <f t="shared" si="0"/>
        <v>18</v>
      </c>
      <c r="Z36" s="327">
        <f t="shared" si="0"/>
        <v>18</v>
      </c>
      <c r="AA36" s="327">
        <f t="shared" si="0"/>
        <v>18</v>
      </c>
      <c r="AB36" s="919"/>
      <c r="AC36" s="598"/>
    </row>
    <row r="37" spans="2:30" x14ac:dyDescent="0.2">
      <c r="B37" s="360" t="s">
        <v>225</v>
      </c>
      <c r="C37" s="352"/>
      <c r="D37" s="351" t="s">
        <v>65</v>
      </c>
      <c r="E37" s="352" t="s">
        <v>221</v>
      </c>
      <c r="F37" s="353"/>
      <c r="G37" s="354"/>
      <c r="H37" s="599">
        <f>(H34*Values!$E$261)+('Cost Projections'!H35*Values!$E$262)+('Cost Projections'!H36*Values!$E$263)</f>
        <v>-106975</v>
      </c>
      <c r="I37" s="600">
        <f>(I34*Values!$E$261)+('Cost Projections'!I35*Values!$E$262)+('Cost Projections'!I36*Values!$E$263)</f>
        <v>-106975</v>
      </c>
      <c r="J37" s="600">
        <f>(J34*Values!$E$261)+('Cost Projections'!J35*Values!$E$262)+('Cost Projections'!J36*Values!$E$263)</f>
        <v>-106975</v>
      </c>
      <c r="K37" s="600">
        <f>(K34*Values!$E$261)+('Cost Projections'!K35*Values!$E$262)+('Cost Projections'!K36*Values!$E$263)</f>
        <v>-106975</v>
      </c>
      <c r="L37" s="600">
        <f>(L34*Values!$E$261)+('Cost Projections'!L35*Values!$E$262)+('Cost Projections'!L36*Values!$E$263)</f>
        <v>-106975</v>
      </c>
      <c r="M37" s="600">
        <f>(M34*Values!$E$261)+('Cost Projections'!M35*Values!$E$262)+('Cost Projections'!M36*Values!$E$263)</f>
        <v>-106975</v>
      </c>
      <c r="N37" s="600">
        <f>(N34*Values!$E$261)+('Cost Projections'!N35*Values!$E$262)+('Cost Projections'!N36*Values!$E$263)</f>
        <v>-106975</v>
      </c>
      <c r="O37" s="600">
        <f>(O34*Values!$E$261)+('Cost Projections'!O35*Values!$E$262)+('Cost Projections'!O36*Values!$E$263)</f>
        <v>-106975</v>
      </c>
      <c r="P37" s="600">
        <f>(P34*Values!$E$261)+('Cost Projections'!P35*Values!$E$262)+('Cost Projections'!P36*Values!$E$263)</f>
        <v>-106975</v>
      </c>
      <c r="Q37" s="600">
        <f>(Q34*Values!$E$261)+('Cost Projections'!Q35*Values!$E$262)+('Cost Projections'!Q36*Values!$E$263)</f>
        <v>-106975</v>
      </c>
      <c r="R37" s="600">
        <f>(R34*Values!$E$261)+('Cost Projections'!R35*Values!$E$262)+('Cost Projections'!R36*Values!$E$263)</f>
        <v>-106975</v>
      </c>
      <c r="S37" s="600">
        <f>(S34*Values!$E$261)+('Cost Projections'!S35*Values!$E$262)+('Cost Projections'!S36*Values!$E$263)</f>
        <v>-106975</v>
      </c>
      <c r="T37" s="600">
        <f>(T34*Values!$E$261)+('Cost Projections'!T35*Values!$E$262)+('Cost Projections'!T36*Values!$E$263)</f>
        <v>-106975</v>
      </c>
      <c r="U37" s="600">
        <f>(U34*Values!$E$261)+('Cost Projections'!U35*Values!$E$262)+('Cost Projections'!U36*Values!$E$263)</f>
        <v>-106975</v>
      </c>
      <c r="V37" s="600">
        <f>(V34*Values!$E$261)+('Cost Projections'!V35*Values!$E$262)+('Cost Projections'!V36*Values!$E$263)</f>
        <v>-106975</v>
      </c>
      <c r="W37" s="600">
        <f>(W34*Values!$E$261)+('Cost Projections'!W35*Values!$E$262)+('Cost Projections'!W36*Values!$E$263)</f>
        <v>-106975</v>
      </c>
      <c r="X37" s="600">
        <f>(X34*Values!$E$261)+('Cost Projections'!X35*Values!$E$262)+('Cost Projections'!X36*Values!$E$263)</f>
        <v>-106975</v>
      </c>
      <c r="Y37" s="600">
        <f>(Y34*Values!$E$261)+('Cost Projections'!Y35*Values!$E$262)+('Cost Projections'!Y36*Values!$E$263)</f>
        <v>-106975</v>
      </c>
      <c r="Z37" s="600">
        <f>(Z34*Values!$E$261)+('Cost Projections'!Z35*Values!$E$262)+('Cost Projections'!Z36*Values!$E$263)</f>
        <v>-106975</v>
      </c>
      <c r="AA37" s="600">
        <f>(AA34*Values!$E$261)+('Cost Projections'!AA35*Values!$E$262)+('Cost Projections'!AA36*Values!$E$263)</f>
        <v>-106975</v>
      </c>
      <c r="AB37" s="933">
        <f>(AA37/$C$69)*$C$70</f>
        <v>-1589818.7136893056</v>
      </c>
      <c r="AC37" s="934">
        <f>NPV($C$69,I37:AA37)+H37+AB37</f>
        <v>-3163403.5714285746</v>
      </c>
    </row>
    <row r="38" spans="2:30" x14ac:dyDescent="0.2">
      <c r="B38" s="361" t="s">
        <v>226</v>
      </c>
      <c r="C38" s="165"/>
      <c r="D38" s="363" t="s">
        <v>65</v>
      </c>
      <c r="E38" s="362" t="s">
        <v>221</v>
      </c>
      <c r="F38" s="319"/>
      <c r="G38" s="320"/>
      <c r="H38" s="366">
        <f>'Cost Initial'!$H33</f>
        <v>0</v>
      </c>
      <c r="I38" s="322">
        <f t="shared" ref="I38:I39" si="2">$H38</f>
        <v>0</v>
      </c>
      <c r="J38" s="322">
        <f t="shared" si="0"/>
        <v>0</v>
      </c>
      <c r="K38" s="322">
        <f t="shared" si="0"/>
        <v>0</v>
      </c>
      <c r="L38" s="322">
        <f t="shared" si="0"/>
        <v>0</v>
      </c>
      <c r="M38" s="322">
        <f t="shared" si="0"/>
        <v>0</v>
      </c>
      <c r="N38" s="322">
        <f t="shared" si="0"/>
        <v>0</v>
      </c>
      <c r="O38" s="322">
        <f t="shared" si="0"/>
        <v>0</v>
      </c>
      <c r="P38" s="322">
        <f t="shared" si="0"/>
        <v>0</v>
      </c>
      <c r="Q38" s="322">
        <f t="shared" si="0"/>
        <v>0</v>
      </c>
      <c r="R38" s="322">
        <f t="shared" si="0"/>
        <v>0</v>
      </c>
      <c r="S38" s="322">
        <f t="shared" si="0"/>
        <v>0</v>
      </c>
      <c r="T38" s="322">
        <f t="shared" si="0"/>
        <v>0</v>
      </c>
      <c r="U38" s="322">
        <f t="shared" si="0"/>
        <v>0</v>
      </c>
      <c r="V38" s="322">
        <f t="shared" si="0"/>
        <v>0</v>
      </c>
      <c r="W38" s="322">
        <f t="shared" si="0"/>
        <v>0</v>
      </c>
      <c r="X38" s="322">
        <f t="shared" si="0"/>
        <v>0</v>
      </c>
      <c r="Y38" s="322">
        <f t="shared" si="0"/>
        <v>0</v>
      </c>
      <c r="Z38" s="322">
        <f t="shared" si="0"/>
        <v>0</v>
      </c>
      <c r="AA38" s="322">
        <f t="shared" si="0"/>
        <v>0</v>
      </c>
      <c r="AB38" s="924"/>
      <c r="AC38" s="925"/>
    </row>
    <row r="39" spans="2:30" x14ac:dyDescent="0.2">
      <c r="B39" s="367" t="s">
        <v>227</v>
      </c>
      <c r="C39" s="165"/>
      <c r="D39" s="363" t="s">
        <v>65</v>
      </c>
      <c r="E39" s="362" t="s">
        <v>221</v>
      </c>
      <c r="F39" s="319"/>
      <c r="G39" s="320"/>
      <c r="H39" s="368">
        <f>'Cost Initial'!$H34</f>
        <v>0</v>
      </c>
      <c r="I39" s="321">
        <f t="shared" si="2"/>
        <v>0</v>
      </c>
      <c r="J39" s="321">
        <f t="shared" si="0"/>
        <v>0</v>
      </c>
      <c r="K39" s="321">
        <f t="shared" si="0"/>
        <v>0</v>
      </c>
      <c r="L39" s="321">
        <f t="shared" si="0"/>
        <v>0</v>
      </c>
      <c r="M39" s="321">
        <f t="shared" si="0"/>
        <v>0</v>
      </c>
      <c r="N39" s="321">
        <f t="shared" si="0"/>
        <v>0</v>
      </c>
      <c r="O39" s="321">
        <f t="shared" si="0"/>
        <v>0</v>
      </c>
      <c r="P39" s="321">
        <f t="shared" si="0"/>
        <v>0</v>
      </c>
      <c r="Q39" s="321">
        <f t="shared" si="0"/>
        <v>0</v>
      </c>
      <c r="R39" s="321">
        <f t="shared" si="0"/>
        <v>0</v>
      </c>
      <c r="S39" s="321">
        <f t="shared" si="0"/>
        <v>0</v>
      </c>
      <c r="T39" s="321">
        <f t="shared" si="0"/>
        <v>0</v>
      </c>
      <c r="U39" s="321">
        <f t="shared" si="0"/>
        <v>0</v>
      </c>
      <c r="V39" s="321">
        <f t="shared" si="0"/>
        <v>0</v>
      </c>
      <c r="W39" s="321">
        <f t="shared" si="0"/>
        <v>0</v>
      </c>
      <c r="X39" s="321">
        <f t="shared" si="0"/>
        <v>0</v>
      </c>
      <c r="Y39" s="321">
        <f t="shared" si="0"/>
        <v>0</v>
      </c>
      <c r="Z39" s="321">
        <f t="shared" si="0"/>
        <v>0</v>
      </c>
      <c r="AA39" s="321">
        <f t="shared" si="0"/>
        <v>0</v>
      </c>
      <c r="AB39" s="924"/>
      <c r="AC39" s="925"/>
    </row>
    <row r="40" spans="2:30" x14ac:dyDescent="0.2">
      <c r="B40" s="369" t="s">
        <v>228</v>
      </c>
      <c r="C40" s="370"/>
      <c r="D40" s="371"/>
      <c r="E40" s="372" t="s">
        <v>221</v>
      </c>
      <c r="F40" s="370"/>
      <c r="G40" s="373"/>
      <c r="H40" s="601">
        <f>SUM(H37:H39)</f>
        <v>-106975</v>
      </c>
      <c r="I40" s="601">
        <f t="shared" ref="I40:AA40" si="3">SUM(I37:I39)</f>
        <v>-106975</v>
      </c>
      <c r="J40" s="601">
        <f t="shared" si="3"/>
        <v>-106975</v>
      </c>
      <c r="K40" s="601">
        <f t="shared" si="3"/>
        <v>-106975</v>
      </c>
      <c r="L40" s="601">
        <f t="shared" si="3"/>
        <v>-106975</v>
      </c>
      <c r="M40" s="601">
        <f t="shared" si="3"/>
        <v>-106975</v>
      </c>
      <c r="N40" s="601">
        <f t="shared" si="3"/>
        <v>-106975</v>
      </c>
      <c r="O40" s="601">
        <f t="shared" si="3"/>
        <v>-106975</v>
      </c>
      <c r="P40" s="601">
        <f t="shared" si="3"/>
        <v>-106975</v>
      </c>
      <c r="Q40" s="601">
        <f t="shared" si="3"/>
        <v>-106975</v>
      </c>
      <c r="R40" s="601">
        <f t="shared" si="3"/>
        <v>-106975</v>
      </c>
      <c r="S40" s="601">
        <f t="shared" si="3"/>
        <v>-106975</v>
      </c>
      <c r="T40" s="601">
        <f t="shared" si="3"/>
        <v>-106975</v>
      </c>
      <c r="U40" s="601">
        <f t="shared" si="3"/>
        <v>-106975</v>
      </c>
      <c r="V40" s="601">
        <f t="shared" si="3"/>
        <v>-106975</v>
      </c>
      <c r="W40" s="601">
        <f t="shared" si="3"/>
        <v>-106975</v>
      </c>
      <c r="X40" s="601">
        <f t="shared" si="3"/>
        <v>-106975</v>
      </c>
      <c r="Y40" s="601">
        <f t="shared" si="3"/>
        <v>-106975</v>
      </c>
      <c r="Z40" s="601">
        <f t="shared" si="3"/>
        <v>-106975</v>
      </c>
      <c r="AA40" s="601">
        <f t="shared" si="3"/>
        <v>-106975</v>
      </c>
      <c r="AB40" s="919"/>
      <c r="AC40" s="601">
        <f>SUM(AC37:AC39)</f>
        <v>-3163403.5714285746</v>
      </c>
    </row>
    <row r="41" spans="2:30" ht="15" x14ac:dyDescent="0.25">
      <c r="B41" s="374" t="s">
        <v>66</v>
      </c>
      <c r="C41" s="375"/>
      <c r="D41" s="376"/>
      <c r="E41" s="377"/>
      <c r="F41" s="378"/>
      <c r="G41" s="379"/>
      <c r="H41" s="380"/>
      <c r="I41" s="380"/>
      <c r="J41" s="380"/>
      <c r="K41" s="380"/>
      <c r="L41" s="380"/>
      <c r="M41" s="380"/>
      <c r="N41" s="380"/>
      <c r="O41" s="380"/>
      <c r="P41" s="380"/>
      <c r="Q41" s="380"/>
      <c r="R41" s="380"/>
      <c r="S41" s="380"/>
      <c r="T41" s="380"/>
      <c r="U41" s="380"/>
      <c r="V41" s="380"/>
      <c r="W41" s="380"/>
      <c r="X41" s="380"/>
      <c r="Y41" s="380"/>
      <c r="Z41" s="380"/>
      <c r="AA41" s="380"/>
      <c r="AB41" s="921"/>
      <c r="AC41" s="922"/>
    </row>
    <row r="42" spans="2:30" x14ac:dyDescent="0.2">
      <c r="B42" s="382" t="s">
        <v>229</v>
      </c>
      <c r="C42" s="413"/>
      <c r="D42" s="363" t="s">
        <v>55</v>
      </c>
      <c r="E42" s="362" t="s">
        <v>221</v>
      </c>
      <c r="F42" s="319" t="s">
        <v>757</v>
      </c>
      <c r="G42" s="320"/>
      <c r="H42" s="368">
        <f>'Cost Initial'!$H37</f>
        <v>-68000</v>
      </c>
      <c r="I42" s="321">
        <v>-45000</v>
      </c>
      <c r="J42" s="321">
        <v>-45000</v>
      </c>
      <c r="K42" s="321">
        <v>-45000</v>
      </c>
      <c r="L42" s="321">
        <v>-90000</v>
      </c>
      <c r="M42" s="321">
        <v>-45000</v>
      </c>
      <c r="N42" s="321">
        <v>-45000</v>
      </c>
      <c r="O42" s="321">
        <v>-45000</v>
      </c>
      <c r="P42" s="321">
        <v>-45000</v>
      </c>
      <c r="Q42" s="321">
        <v>-90000</v>
      </c>
      <c r="R42" s="321">
        <v>-45000</v>
      </c>
      <c r="S42" s="321">
        <v>-45000</v>
      </c>
      <c r="T42" s="321">
        <v>-45000</v>
      </c>
      <c r="U42" s="321">
        <v>-45000</v>
      </c>
      <c r="V42" s="321">
        <v>-90000</v>
      </c>
      <c r="W42" s="321">
        <v>-45000</v>
      </c>
      <c r="X42" s="321">
        <v>-45000</v>
      </c>
      <c r="Y42" s="321">
        <v>-45000</v>
      </c>
      <c r="Z42" s="321">
        <v>-45000</v>
      </c>
      <c r="AA42" s="321">
        <v>-90000</v>
      </c>
      <c r="AB42" s="933">
        <f>(C79/$C$69)*$C$70</f>
        <v>-816722.3276109827</v>
      </c>
      <c r="AC42" s="934">
        <f>NPV($C$69,I42:AA42)+H42+AB42</f>
        <v>-1625104.992024235</v>
      </c>
      <c r="AD42" s="328" t="s">
        <v>816</v>
      </c>
    </row>
    <row r="43" spans="2:30" x14ac:dyDescent="0.2">
      <c r="B43" s="382" t="s">
        <v>230</v>
      </c>
      <c r="C43" s="319"/>
      <c r="D43" s="363" t="s">
        <v>55</v>
      </c>
      <c r="E43" s="362" t="s">
        <v>221</v>
      </c>
      <c r="F43" s="319"/>
      <c r="G43" s="320"/>
      <c r="H43" s="323">
        <v>-30000</v>
      </c>
      <c r="I43" s="322"/>
      <c r="J43" s="322">
        <v>-15000</v>
      </c>
      <c r="K43" s="322">
        <v>-50000</v>
      </c>
      <c r="L43" s="322"/>
      <c r="M43" s="322">
        <v>-90000</v>
      </c>
      <c r="N43" s="322"/>
      <c r="O43" s="322"/>
      <c r="P43" s="322"/>
      <c r="Q43" s="322"/>
      <c r="R43" s="322">
        <v>-30000</v>
      </c>
      <c r="S43" s="322"/>
      <c r="T43" s="322">
        <v>-15000</v>
      </c>
      <c r="U43" s="322">
        <v>-50000</v>
      </c>
      <c r="V43" s="322"/>
      <c r="W43" s="322">
        <v>-90000</v>
      </c>
      <c r="X43" s="322"/>
      <c r="Y43" s="322"/>
      <c r="Z43" s="322"/>
      <c r="AA43" s="322"/>
      <c r="AB43" s="933">
        <f>(C80/$C$69)*$C$70</f>
        <v>-325857.59152010037</v>
      </c>
      <c r="AC43" s="934">
        <f>NPV($C$69,I43:AA43)+H43+AB43</f>
        <v>-648387.80668249726</v>
      </c>
      <c r="AD43" s="328" t="s">
        <v>816</v>
      </c>
    </row>
    <row r="44" spans="2:30" x14ac:dyDescent="0.2">
      <c r="B44" s="383" t="s">
        <v>241</v>
      </c>
      <c r="C44" s="384"/>
      <c r="D44" s="385" t="s">
        <v>55</v>
      </c>
      <c r="E44" s="386" t="s">
        <v>221</v>
      </c>
      <c r="F44" s="384"/>
      <c r="G44" s="387"/>
      <c r="H44" s="388"/>
      <c r="I44" s="389"/>
      <c r="J44" s="389"/>
      <c r="K44" s="389"/>
      <c r="L44" s="389"/>
      <c r="M44" s="389"/>
      <c r="N44" s="389"/>
      <c r="O44" s="389"/>
      <c r="P44" s="389"/>
      <c r="Q44" s="389"/>
      <c r="R44" s="389"/>
      <c r="S44" s="389"/>
      <c r="T44" s="389"/>
      <c r="U44" s="389"/>
      <c r="V44" s="389"/>
      <c r="W44" s="389"/>
      <c r="X44" s="389"/>
      <c r="Y44" s="389"/>
      <c r="Z44" s="389"/>
      <c r="AA44" s="389"/>
      <c r="AB44" s="926"/>
      <c r="AC44" s="927"/>
    </row>
    <row r="45" spans="2:30" x14ac:dyDescent="0.2">
      <c r="B45" s="390" t="s">
        <v>240</v>
      </c>
      <c r="C45" s="325"/>
      <c r="D45" s="358" t="s">
        <v>55</v>
      </c>
      <c r="E45" s="357" t="s">
        <v>221</v>
      </c>
      <c r="F45" s="325" t="s">
        <v>486</v>
      </c>
      <c r="G45" s="326"/>
      <c r="H45" s="359">
        <f>'Cost Initial'!$H40</f>
        <v>1</v>
      </c>
      <c r="I45" s="327">
        <f t="shared" ref="I45:AA45" si="4">$H45</f>
        <v>1</v>
      </c>
      <c r="J45" s="327">
        <f t="shared" si="4"/>
        <v>1</v>
      </c>
      <c r="K45" s="327">
        <f t="shared" si="4"/>
        <v>1</v>
      </c>
      <c r="L45" s="327">
        <f t="shared" si="4"/>
        <v>1</v>
      </c>
      <c r="M45" s="327">
        <f t="shared" si="4"/>
        <v>1</v>
      </c>
      <c r="N45" s="327">
        <f t="shared" si="4"/>
        <v>1</v>
      </c>
      <c r="O45" s="327">
        <f t="shared" si="4"/>
        <v>1</v>
      </c>
      <c r="P45" s="327">
        <f t="shared" si="4"/>
        <v>1</v>
      </c>
      <c r="Q45" s="327">
        <f t="shared" si="4"/>
        <v>1</v>
      </c>
      <c r="R45" s="327">
        <f t="shared" si="4"/>
        <v>1</v>
      </c>
      <c r="S45" s="327">
        <f t="shared" si="4"/>
        <v>1</v>
      </c>
      <c r="T45" s="327">
        <f t="shared" si="4"/>
        <v>1</v>
      </c>
      <c r="U45" s="327">
        <f t="shared" si="4"/>
        <v>1</v>
      </c>
      <c r="V45" s="327">
        <f t="shared" si="4"/>
        <v>1</v>
      </c>
      <c r="W45" s="327">
        <f t="shared" si="4"/>
        <v>1</v>
      </c>
      <c r="X45" s="327">
        <f t="shared" si="4"/>
        <v>1</v>
      </c>
      <c r="Y45" s="327">
        <f t="shared" si="4"/>
        <v>1</v>
      </c>
      <c r="Z45" s="327">
        <f t="shared" si="4"/>
        <v>1</v>
      </c>
      <c r="AA45" s="327">
        <f t="shared" si="4"/>
        <v>1</v>
      </c>
      <c r="AB45" s="919"/>
      <c r="AC45" s="598"/>
    </row>
    <row r="46" spans="2:30" x14ac:dyDescent="0.2">
      <c r="B46" s="390" t="s">
        <v>234</v>
      </c>
      <c r="C46" s="325"/>
      <c r="D46" s="358" t="s">
        <v>55</v>
      </c>
      <c r="E46" s="357" t="s">
        <v>236</v>
      </c>
      <c r="F46" s="325" t="s">
        <v>486</v>
      </c>
      <c r="G46" s="326"/>
      <c r="H46" s="1063">
        <f>'Cost Initial'!$H41</f>
        <v>1.5</v>
      </c>
      <c r="I46" s="1064">
        <v>1</v>
      </c>
      <c r="J46" s="1064">
        <f>$I$46</f>
        <v>1</v>
      </c>
      <c r="K46" s="1064">
        <f t="shared" ref="K46:AA46" si="5">$I$46</f>
        <v>1</v>
      </c>
      <c r="L46" s="1064">
        <f t="shared" si="5"/>
        <v>1</v>
      </c>
      <c r="M46" s="1064">
        <f t="shared" si="5"/>
        <v>1</v>
      </c>
      <c r="N46" s="1064">
        <f t="shared" si="5"/>
        <v>1</v>
      </c>
      <c r="O46" s="1064">
        <f t="shared" si="5"/>
        <v>1</v>
      </c>
      <c r="P46" s="1064">
        <f t="shared" si="5"/>
        <v>1</v>
      </c>
      <c r="Q46" s="1064">
        <f t="shared" si="5"/>
        <v>1</v>
      </c>
      <c r="R46" s="1064">
        <f t="shared" si="5"/>
        <v>1</v>
      </c>
      <c r="S46" s="1064">
        <f t="shared" si="5"/>
        <v>1</v>
      </c>
      <c r="T46" s="1064">
        <f t="shared" si="5"/>
        <v>1</v>
      </c>
      <c r="U46" s="1064">
        <f t="shared" si="5"/>
        <v>1</v>
      </c>
      <c r="V46" s="1064">
        <f t="shared" si="5"/>
        <v>1</v>
      </c>
      <c r="W46" s="1064">
        <f t="shared" si="5"/>
        <v>1</v>
      </c>
      <c r="X46" s="1064">
        <f t="shared" si="5"/>
        <v>1</v>
      </c>
      <c r="Y46" s="1064">
        <f t="shared" si="5"/>
        <v>1</v>
      </c>
      <c r="Z46" s="1064">
        <f t="shared" si="5"/>
        <v>1</v>
      </c>
      <c r="AA46" s="1064">
        <f t="shared" si="5"/>
        <v>1</v>
      </c>
      <c r="AB46" s="919"/>
      <c r="AC46" s="598"/>
    </row>
    <row r="47" spans="2:30" x14ac:dyDescent="0.2">
      <c r="B47" s="390" t="s">
        <v>235</v>
      </c>
      <c r="C47" s="325"/>
      <c r="D47" s="358" t="s">
        <v>55</v>
      </c>
      <c r="E47" s="357" t="s">
        <v>236</v>
      </c>
      <c r="F47" s="325" t="s">
        <v>486</v>
      </c>
      <c r="G47" s="326"/>
      <c r="H47" s="359">
        <f>'Cost Initial'!$H42</f>
        <v>2</v>
      </c>
      <c r="I47" s="327">
        <f t="shared" ref="I47:X48" si="6">$H47</f>
        <v>2</v>
      </c>
      <c r="J47" s="327">
        <f t="shared" si="6"/>
        <v>2</v>
      </c>
      <c r="K47" s="327">
        <f t="shared" si="6"/>
        <v>2</v>
      </c>
      <c r="L47" s="327">
        <f t="shared" si="6"/>
        <v>2</v>
      </c>
      <c r="M47" s="327">
        <f t="shared" si="6"/>
        <v>2</v>
      </c>
      <c r="N47" s="327">
        <f t="shared" si="6"/>
        <v>2</v>
      </c>
      <c r="O47" s="327">
        <f t="shared" si="6"/>
        <v>2</v>
      </c>
      <c r="P47" s="327">
        <f t="shared" si="6"/>
        <v>2</v>
      </c>
      <c r="Q47" s="327">
        <f t="shared" si="6"/>
        <v>2</v>
      </c>
      <c r="R47" s="327">
        <f t="shared" si="6"/>
        <v>2</v>
      </c>
      <c r="S47" s="327">
        <f t="shared" si="6"/>
        <v>2</v>
      </c>
      <c r="T47" s="327">
        <f t="shared" si="6"/>
        <v>2</v>
      </c>
      <c r="U47" s="327">
        <f t="shared" si="6"/>
        <v>2</v>
      </c>
      <c r="V47" s="327">
        <f t="shared" si="6"/>
        <v>2</v>
      </c>
      <c r="W47" s="327">
        <f t="shared" si="6"/>
        <v>2</v>
      </c>
      <c r="X47" s="327">
        <f t="shared" si="6"/>
        <v>2</v>
      </c>
      <c r="Y47" s="327">
        <f t="shared" ref="J47:AA48" si="7">$H47</f>
        <v>2</v>
      </c>
      <c r="Z47" s="327">
        <f t="shared" si="7"/>
        <v>2</v>
      </c>
      <c r="AA47" s="327">
        <f t="shared" si="7"/>
        <v>2</v>
      </c>
      <c r="AB47" s="919"/>
      <c r="AC47" s="598"/>
    </row>
    <row r="48" spans="2:30" ht="28.5" x14ac:dyDescent="0.2">
      <c r="B48" s="390" t="s">
        <v>233</v>
      </c>
      <c r="C48" s="325"/>
      <c r="D48" s="358" t="s">
        <v>55</v>
      </c>
      <c r="E48" s="357" t="s">
        <v>236</v>
      </c>
      <c r="F48" s="325" t="s">
        <v>486</v>
      </c>
      <c r="G48" s="326"/>
      <c r="H48" s="359">
        <f>'Cost Initial'!$H43</f>
        <v>1</v>
      </c>
      <c r="I48" s="327">
        <f t="shared" si="6"/>
        <v>1</v>
      </c>
      <c r="J48" s="327">
        <f t="shared" si="7"/>
        <v>1</v>
      </c>
      <c r="K48" s="327">
        <f t="shared" si="7"/>
        <v>1</v>
      </c>
      <c r="L48" s="327">
        <f t="shared" si="7"/>
        <v>1</v>
      </c>
      <c r="M48" s="327">
        <f t="shared" si="7"/>
        <v>1</v>
      </c>
      <c r="N48" s="327">
        <f t="shared" si="7"/>
        <v>1</v>
      </c>
      <c r="O48" s="327">
        <f t="shared" si="7"/>
        <v>1</v>
      </c>
      <c r="P48" s="327">
        <f t="shared" si="7"/>
        <v>1</v>
      </c>
      <c r="Q48" s="327">
        <f t="shared" si="7"/>
        <v>1</v>
      </c>
      <c r="R48" s="327">
        <f t="shared" si="7"/>
        <v>1</v>
      </c>
      <c r="S48" s="327">
        <f t="shared" si="7"/>
        <v>1</v>
      </c>
      <c r="T48" s="327">
        <f t="shared" si="7"/>
        <v>1</v>
      </c>
      <c r="U48" s="327">
        <f t="shared" si="7"/>
        <v>1</v>
      </c>
      <c r="V48" s="327">
        <f t="shared" si="7"/>
        <v>1</v>
      </c>
      <c r="W48" s="327">
        <f t="shared" si="7"/>
        <v>1</v>
      </c>
      <c r="X48" s="327">
        <f t="shared" si="7"/>
        <v>1</v>
      </c>
      <c r="Y48" s="327">
        <f t="shared" si="7"/>
        <v>1</v>
      </c>
      <c r="Z48" s="327">
        <f t="shared" si="7"/>
        <v>1</v>
      </c>
      <c r="AA48" s="327">
        <f t="shared" si="7"/>
        <v>1</v>
      </c>
      <c r="AB48" s="919"/>
      <c r="AC48" s="598"/>
    </row>
    <row r="49" spans="1:29" x14ac:dyDescent="0.2">
      <c r="B49" s="391" t="s">
        <v>247</v>
      </c>
      <c r="C49" s="392"/>
      <c r="D49" s="393" t="s">
        <v>55</v>
      </c>
      <c r="E49" s="394" t="s">
        <v>221</v>
      </c>
      <c r="F49" s="392"/>
      <c r="G49" s="395"/>
      <c r="H49" s="396">
        <f>(H45*Values!$C$278)+(H46*Values!$D$279)+(H47*Values!$D$280)+(H48*Values!$D$281)</f>
        <v>-157586.19444444444</v>
      </c>
      <c r="I49" s="396">
        <f>(I45*Values!$C$278)+(I46*Values!$D$279)+(I47*Values!$D$280)+(I48*Values!$D$281)</f>
        <v>-145408.83333333331</v>
      </c>
      <c r="J49" s="396">
        <f>(J45*Values!$C$278)+(J46*Values!$D$279)+(J47*Values!$D$280)+(J48*Values!$D$281)</f>
        <v>-145408.83333333331</v>
      </c>
      <c r="K49" s="396">
        <f>(K45*Values!$C$278)+(K46*Values!$D$279)+(K47*Values!$D$280)+(K48*Values!$D$281)</f>
        <v>-145408.83333333331</v>
      </c>
      <c r="L49" s="396">
        <f>(L45*Values!$C$278)+(L46*Values!$D$279)+(L47*Values!$D$280)+(L48*Values!$D$281)</f>
        <v>-145408.83333333331</v>
      </c>
      <c r="M49" s="396">
        <f>(M45*Values!$C$278)+(M46*Values!$D$279)+(M47*Values!$D$280)+(M48*Values!$D$281)</f>
        <v>-145408.83333333331</v>
      </c>
      <c r="N49" s="396">
        <f>(N45*Values!$C$278)+(N46*Values!$D$279)+(N47*Values!$D$280)+(N48*Values!$D$281)</f>
        <v>-145408.83333333331</v>
      </c>
      <c r="O49" s="396">
        <f>(O45*Values!$C$278)+(O46*Values!$D$279)+(O47*Values!$D$280)+(O48*Values!$D$281)</f>
        <v>-145408.83333333331</v>
      </c>
      <c r="P49" s="396">
        <f>(P45*Values!$C$278)+(P46*Values!$D$279)+(P47*Values!$D$280)+(P48*Values!$D$281)</f>
        <v>-145408.83333333331</v>
      </c>
      <c r="Q49" s="396">
        <f>(Q45*Values!$C$278)+(Q46*Values!$D$279)+(Q47*Values!$D$280)+(Q48*Values!$D$281)</f>
        <v>-145408.83333333331</v>
      </c>
      <c r="R49" s="396">
        <f>(R45*Values!$C$278)+(R46*Values!$D$279)+(R47*Values!$D$280)+(R48*Values!$D$281)</f>
        <v>-145408.83333333331</v>
      </c>
      <c r="S49" s="396">
        <f>(S45*Values!$C$278)+(S46*Values!$D$279)+(S47*Values!$D$280)+(S48*Values!$D$281)</f>
        <v>-145408.83333333331</v>
      </c>
      <c r="T49" s="396">
        <f>(T45*Values!$C$278)+(T46*Values!$D$279)+(T47*Values!$D$280)+(T48*Values!$D$281)</f>
        <v>-145408.83333333331</v>
      </c>
      <c r="U49" s="396">
        <f>(U45*Values!$C$278)+(U46*Values!$D$279)+(U47*Values!$D$280)+(U48*Values!$D$281)</f>
        <v>-145408.83333333331</v>
      </c>
      <c r="V49" s="396">
        <f>(V45*Values!$C$278)+(V46*Values!$D$279)+(V47*Values!$D$280)+(V48*Values!$D$281)</f>
        <v>-145408.83333333331</v>
      </c>
      <c r="W49" s="396">
        <f>(W45*Values!$C$278)+(W46*Values!$D$279)+(W47*Values!$D$280)+(W48*Values!$D$281)</f>
        <v>-145408.83333333331</v>
      </c>
      <c r="X49" s="396">
        <f>(X45*Values!$C$278)+(X46*Values!$D$279)+(X47*Values!$D$280)+(X48*Values!$D$281)</f>
        <v>-145408.83333333331</v>
      </c>
      <c r="Y49" s="396">
        <f>(Y45*Values!$C$278)+(Y46*Values!$D$279)+(Y47*Values!$D$280)+(Y48*Values!$D$281)</f>
        <v>-145408.83333333331</v>
      </c>
      <c r="Z49" s="396">
        <f>(Z45*Values!$C$278)+(Z46*Values!$D$279)+(Z47*Values!$D$280)+(Z48*Values!$D$281)</f>
        <v>-145408.83333333331</v>
      </c>
      <c r="AA49" s="396">
        <f>(AA45*Values!$C$278)+(AA46*Values!$D$279)+(AA47*Values!$D$280)+(AA48*Values!$D$281)</f>
        <v>-145408.83333333331</v>
      </c>
      <c r="AB49" s="932">
        <f>(AA49/$C$69)*$C$70</f>
        <v>-2161006.631166745</v>
      </c>
      <c r="AC49" s="935">
        <f>NPV($C$69,I49:AA49)+H49+AB49</f>
        <v>-4312124.2896825429</v>
      </c>
    </row>
    <row r="50" spans="1:29" x14ac:dyDescent="0.2">
      <c r="B50" s="367" t="s">
        <v>231</v>
      </c>
      <c r="C50" s="364"/>
      <c r="D50" s="363" t="s">
        <v>55</v>
      </c>
      <c r="E50" s="362" t="s">
        <v>221</v>
      </c>
      <c r="F50" s="364"/>
      <c r="G50" s="365"/>
      <c r="H50" s="366">
        <f>SUM(H45:H48)*-Values!$D$296</f>
        <v>-20625</v>
      </c>
      <c r="I50" s="366">
        <f>SUM(I45:I48)*-Values!$D$296</f>
        <v>-18750</v>
      </c>
      <c r="J50" s="366">
        <f>SUM(J45:J48)*-Values!$D$296</f>
        <v>-18750</v>
      </c>
      <c r="K50" s="366">
        <f>SUM(K45:K48)*-Values!$D$296</f>
        <v>-18750</v>
      </c>
      <c r="L50" s="366">
        <f>SUM(L45:L48)*-Values!$D$296</f>
        <v>-18750</v>
      </c>
      <c r="M50" s="366">
        <f>SUM(M45:M48)*-Values!$D$296</f>
        <v>-18750</v>
      </c>
      <c r="N50" s="366">
        <f>SUM(N45:N48)*-Values!$D$296</f>
        <v>-18750</v>
      </c>
      <c r="O50" s="366">
        <f>SUM(O45:O48)*-Values!$D$296</f>
        <v>-18750</v>
      </c>
      <c r="P50" s="366">
        <f>SUM(P45:P48)*-Values!$D$296</f>
        <v>-18750</v>
      </c>
      <c r="Q50" s="366">
        <f>SUM(Q45:Q48)*-Values!$D$296</f>
        <v>-18750</v>
      </c>
      <c r="R50" s="366">
        <f>SUM(R45:R48)*-Values!$D$296</f>
        <v>-18750</v>
      </c>
      <c r="S50" s="366">
        <f>SUM(S45:S48)*-Values!$D$296</f>
        <v>-18750</v>
      </c>
      <c r="T50" s="366">
        <f>SUM(T45:T48)*-Values!$D$296</f>
        <v>-18750</v>
      </c>
      <c r="U50" s="366">
        <f>SUM(U45:U48)*-Values!$D$296</f>
        <v>-18750</v>
      </c>
      <c r="V50" s="366">
        <f>SUM(V45:V48)*-Values!$D$296</f>
        <v>-18750</v>
      </c>
      <c r="W50" s="366">
        <f>SUM(W45:W48)*-Values!$D$296</f>
        <v>-18750</v>
      </c>
      <c r="X50" s="366">
        <f>SUM(X45:X48)*-Values!$D$296</f>
        <v>-18750</v>
      </c>
      <c r="Y50" s="366">
        <f>SUM(Y45:Y48)*-Values!$D$296</f>
        <v>-18750</v>
      </c>
      <c r="Z50" s="366">
        <f>SUM(Z45:Z48)*-Values!$D$296</f>
        <v>-18750</v>
      </c>
      <c r="AA50" s="366">
        <f>SUM(AA45:AA48)*-Values!$D$296</f>
        <v>-18750</v>
      </c>
      <c r="AB50" s="933">
        <f>(AA50/$C$69)*$C$70</f>
        <v>-278654.83413577452</v>
      </c>
      <c r="AC50" s="934">
        <f>NPV($C$69,I50:AA50)+H50+AB50</f>
        <v>-556339.28571428638</v>
      </c>
    </row>
    <row r="51" spans="1:29" ht="28.5" x14ac:dyDescent="0.2">
      <c r="B51" s="382" t="s">
        <v>244</v>
      </c>
      <c r="C51" s="319"/>
      <c r="D51" s="363" t="s">
        <v>55</v>
      </c>
      <c r="E51" s="362" t="s">
        <v>221</v>
      </c>
      <c r="F51" s="319" t="s">
        <v>486</v>
      </c>
      <c r="G51" s="320"/>
      <c r="H51" s="930">
        <f>'Cost Initial'!H46</f>
        <v>-19345</v>
      </c>
      <c r="I51" s="321">
        <v>-16000</v>
      </c>
      <c r="J51" s="321">
        <v>-11000</v>
      </c>
      <c r="K51" s="321">
        <v>-11000</v>
      </c>
      <c r="L51" s="321">
        <v>-11000</v>
      </c>
      <c r="M51" s="321">
        <v>-9500</v>
      </c>
      <c r="N51" s="321">
        <v>-9500</v>
      </c>
      <c r="O51" s="321">
        <v>-9500</v>
      </c>
      <c r="P51" s="321">
        <v>-9500</v>
      </c>
      <c r="Q51" s="321">
        <v>-9500</v>
      </c>
      <c r="R51" s="321">
        <v>-9500</v>
      </c>
      <c r="S51" s="321">
        <v>-9500</v>
      </c>
      <c r="T51" s="321">
        <v>-9500</v>
      </c>
      <c r="U51" s="321">
        <v>-9500</v>
      </c>
      <c r="V51" s="321">
        <v>-9500</v>
      </c>
      <c r="W51" s="321">
        <v>-9500</v>
      </c>
      <c r="X51" s="321">
        <v>-9500</v>
      </c>
      <c r="Y51" s="321">
        <v>-9500</v>
      </c>
      <c r="Z51" s="321">
        <v>-9500</v>
      </c>
      <c r="AA51" s="321">
        <v>-9500</v>
      </c>
      <c r="AB51" s="936">
        <f>(AA51/$C$69)*$C$70</f>
        <v>-141185.11596212577</v>
      </c>
      <c r="AC51" s="937">
        <f>NPV($C$69,I51:AA51)+H51+AB51</f>
        <v>-301114.10811588622</v>
      </c>
    </row>
    <row r="52" spans="1:29" x14ac:dyDescent="0.2">
      <c r="B52" s="397" t="s">
        <v>99</v>
      </c>
      <c r="C52" s="72"/>
      <c r="D52" s="381" t="s">
        <v>55</v>
      </c>
      <c r="E52" s="72"/>
      <c r="F52" s="73"/>
      <c r="G52" s="178"/>
      <c r="H52" s="928">
        <f>'Cost Initial'!$H47</f>
        <v>0</v>
      </c>
      <c r="I52" s="929">
        <f t="shared" ref="I52:X55" si="8">$H52</f>
        <v>0</v>
      </c>
      <c r="J52" s="929">
        <f t="shared" si="8"/>
        <v>0</v>
      </c>
      <c r="K52" s="929">
        <f t="shared" si="8"/>
        <v>0</v>
      </c>
      <c r="L52" s="929">
        <f t="shared" si="8"/>
        <v>0</v>
      </c>
      <c r="M52" s="929">
        <f t="shared" si="8"/>
        <v>0</v>
      </c>
      <c r="N52" s="929">
        <f t="shared" si="8"/>
        <v>0</v>
      </c>
      <c r="O52" s="929">
        <f t="shared" si="8"/>
        <v>0</v>
      </c>
      <c r="P52" s="929">
        <f t="shared" si="8"/>
        <v>0</v>
      </c>
      <c r="Q52" s="929">
        <f t="shared" si="8"/>
        <v>0</v>
      </c>
      <c r="R52" s="929">
        <f t="shared" si="8"/>
        <v>0</v>
      </c>
      <c r="S52" s="929">
        <f t="shared" si="8"/>
        <v>0</v>
      </c>
      <c r="T52" s="929">
        <f t="shared" si="8"/>
        <v>0</v>
      </c>
      <c r="U52" s="929">
        <f t="shared" si="8"/>
        <v>0</v>
      </c>
      <c r="V52" s="929">
        <f t="shared" si="8"/>
        <v>0</v>
      </c>
      <c r="W52" s="929">
        <f t="shared" si="8"/>
        <v>0</v>
      </c>
      <c r="X52" s="929">
        <f t="shared" si="8"/>
        <v>0</v>
      </c>
      <c r="Y52" s="929">
        <f t="shared" ref="Y52:AA55" si="9">$H52</f>
        <v>0</v>
      </c>
      <c r="Z52" s="929">
        <f t="shared" si="9"/>
        <v>0</v>
      </c>
      <c r="AA52" s="929">
        <f t="shared" si="9"/>
        <v>0</v>
      </c>
      <c r="AB52" s="919"/>
      <c r="AC52" s="598"/>
    </row>
    <row r="53" spans="1:29" x14ac:dyDescent="0.2">
      <c r="B53" s="397"/>
      <c r="C53" s="73"/>
      <c r="D53" s="381" t="s">
        <v>55</v>
      </c>
      <c r="E53" s="72"/>
      <c r="F53" s="73"/>
      <c r="G53" s="178"/>
      <c r="H53" s="359">
        <f>'Cost Initial'!$H48</f>
        <v>0</v>
      </c>
      <c r="I53" s="327">
        <f t="shared" si="8"/>
        <v>0</v>
      </c>
      <c r="J53" s="327">
        <f t="shared" si="8"/>
        <v>0</v>
      </c>
      <c r="K53" s="327">
        <f t="shared" si="8"/>
        <v>0</v>
      </c>
      <c r="L53" s="327">
        <f t="shared" si="8"/>
        <v>0</v>
      </c>
      <c r="M53" s="327">
        <f t="shared" si="8"/>
        <v>0</v>
      </c>
      <c r="N53" s="327">
        <f t="shared" si="8"/>
        <v>0</v>
      </c>
      <c r="O53" s="327">
        <f t="shared" si="8"/>
        <v>0</v>
      </c>
      <c r="P53" s="327">
        <f t="shared" si="8"/>
        <v>0</v>
      </c>
      <c r="Q53" s="327">
        <f t="shared" si="8"/>
        <v>0</v>
      </c>
      <c r="R53" s="327">
        <f t="shared" si="8"/>
        <v>0</v>
      </c>
      <c r="S53" s="327">
        <f t="shared" si="8"/>
        <v>0</v>
      </c>
      <c r="T53" s="327">
        <f t="shared" si="8"/>
        <v>0</v>
      </c>
      <c r="U53" s="327">
        <f t="shared" si="8"/>
        <v>0</v>
      </c>
      <c r="V53" s="327">
        <f t="shared" si="8"/>
        <v>0</v>
      </c>
      <c r="W53" s="327">
        <f t="shared" si="8"/>
        <v>0</v>
      </c>
      <c r="X53" s="327">
        <f t="shared" si="8"/>
        <v>0</v>
      </c>
      <c r="Y53" s="327">
        <f t="shared" si="9"/>
        <v>0</v>
      </c>
      <c r="Z53" s="327">
        <f t="shared" si="9"/>
        <v>0</v>
      </c>
      <c r="AA53" s="327">
        <f t="shared" si="9"/>
        <v>0</v>
      </c>
      <c r="AB53" s="919"/>
      <c r="AC53" s="598"/>
    </row>
    <row r="54" spans="1:29" x14ac:dyDescent="0.2">
      <c r="B54" s="397"/>
      <c r="C54" s="73"/>
      <c r="D54" s="381" t="s">
        <v>55</v>
      </c>
      <c r="E54" s="72"/>
      <c r="F54" s="73"/>
      <c r="G54" s="178"/>
      <c r="H54" s="359">
        <f>'Cost Initial'!$H49</f>
        <v>0</v>
      </c>
      <c r="I54" s="327">
        <f t="shared" si="8"/>
        <v>0</v>
      </c>
      <c r="J54" s="327">
        <f t="shared" si="8"/>
        <v>0</v>
      </c>
      <c r="K54" s="327">
        <f t="shared" si="8"/>
        <v>0</v>
      </c>
      <c r="L54" s="327">
        <f t="shared" si="8"/>
        <v>0</v>
      </c>
      <c r="M54" s="327">
        <f t="shared" si="8"/>
        <v>0</v>
      </c>
      <c r="N54" s="327">
        <f t="shared" si="8"/>
        <v>0</v>
      </c>
      <c r="O54" s="327">
        <f t="shared" si="8"/>
        <v>0</v>
      </c>
      <c r="P54" s="327">
        <f t="shared" si="8"/>
        <v>0</v>
      </c>
      <c r="Q54" s="327">
        <f t="shared" si="8"/>
        <v>0</v>
      </c>
      <c r="R54" s="327">
        <f t="shared" si="8"/>
        <v>0</v>
      </c>
      <c r="S54" s="327">
        <f t="shared" si="8"/>
        <v>0</v>
      </c>
      <c r="T54" s="327">
        <f t="shared" si="8"/>
        <v>0</v>
      </c>
      <c r="U54" s="327">
        <f t="shared" si="8"/>
        <v>0</v>
      </c>
      <c r="V54" s="327">
        <f t="shared" si="8"/>
        <v>0</v>
      </c>
      <c r="W54" s="327">
        <f t="shared" si="8"/>
        <v>0</v>
      </c>
      <c r="X54" s="327">
        <f t="shared" si="8"/>
        <v>0</v>
      </c>
      <c r="Y54" s="327">
        <f t="shared" si="9"/>
        <v>0</v>
      </c>
      <c r="Z54" s="327">
        <f t="shared" si="9"/>
        <v>0</v>
      </c>
      <c r="AA54" s="327">
        <f t="shared" si="9"/>
        <v>0</v>
      </c>
      <c r="AB54" s="919"/>
      <c r="AC54" s="598"/>
    </row>
    <row r="55" spans="1:29" x14ac:dyDescent="0.2">
      <c r="B55" s="397"/>
      <c r="C55" s="73"/>
      <c r="D55" s="381" t="s">
        <v>55</v>
      </c>
      <c r="E55" s="72"/>
      <c r="F55" s="73"/>
      <c r="G55" s="178"/>
      <c r="H55" s="359">
        <f>'Cost Initial'!$H50</f>
        <v>0</v>
      </c>
      <c r="I55" s="327">
        <f t="shared" si="8"/>
        <v>0</v>
      </c>
      <c r="J55" s="327">
        <f t="shared" si="8"/>
        <v>0</v>
      </c>
      <c r="K55" s="327">
        <f t="shared" si="8"/>
        <v>0</v>
      </c>
      <c r="L55" s="327">
        <f t="shared" si="8"/>
        <v>0</v>
      </c>
      <c r="M55" s="327">
        <f t="shared" si="8"/>
        <v>0</v>
      </c>
      <c r="N55" s="327">
        <f t="shared" si="8"/>
        <v>0</v>
      </c>
      <c r="O55" s="327">
        <f t="shared" si="8"/>
        <v>0</v>
      </c>
      <c r="P55" s="327">
        <f t="shared" si="8"/>
        <v>0</v>
      </c>
      <c r="Q55" s="327">
        <f t="shared" si="8"/>
        <v>0</v>
      </c>
      <c r="R55" s="327">
        <f t="shared" si="8"/>
        <v>0</v>
      </c>
      <c r="S55" s="327">
        <f t="shared" si="8"/>
        <v>0</v>
      </c>
      <c r="T55" s="327">
        <f t="shared" si="8"/>
        <v>0</v>
      </c>
      <c r="U55" s="327">
        <f t="shared" si="8"/>
        <v>0</v>
      </c>
      <c r="V55" s="327">
        <f t="shared" si="8"/>
        <v>0</v>
      </c>
      <c r="W55" s="327">
        <f t="shared" si="8"/>
        <v>0</v>
      </c>
      <c r="X55" s="327">
        <f t="shared" si="8"/>
        <v>0</v>
      </c>
      <c r="Y55" s="327">
        <f t="shared" si="9"/>
        <v>0</v>
      </c>
      <c r="Z55" s="327">
        <f t="shared" si="9"/>
        <v>0</v>
      </c>
      <c r="AA55" s="327">
        <f t="shared" si="9"/>
        <v>0</v>
      </c>
      <c r="AB55" s="919"/>
      <c r="AC55" s="598"/>
    </row>
    <row r="56" spans="1:29" x14ac:dyDescent="0.2">
      <c r="B56" s="369" t="s">
        <v>213</v>
      </c>
      <c r="C56" s="370"/>
      <c r="D56" s="371"/>
      <c r="E56" s="372"/>
      <c r="F56" s="370"/>
      <c r="G56" s="373"/>
      <c r="H56" s="601">
        <f>SUM(H42:H55)</f>
        <v>-295550.69444444444</v>
      </c>
      <c r="I56" s="601">
        <f t="shared" ref="I56:AA56" si="10">SUM(I42:I55)</f>
        <v>-225153.83333333331</v>
      </c>
      <c r="J56" s="601">
        <f>SUM(J42:J55)</f>
        <v>-235153.83333333331</v>
      </c>
      <c r="K56" s="601">
        <f t="shared" si="10"/>
        <v>-270153.83333333331</v>
      </c>
      <c r="L56" s="601">
        <f t="shared" si="10"/>
        <v>-265153.83333333331</v>
      </c>
      <c r="M56" s="601">
        <f t="shared" si="10"/>
        <v>-308653.83333333331</v>
      </c>
      <c r="N56" s="601">
        <f t="shared" si="10"/>
        <v>-218653.83333333331</v>
      </c>
      <c r="O56" s="601">
        <f t="shared" si="10"/>
        <v>-218653.83333333331</v>
      </c>
      <c r="P56" s="601">
        <f t="shared" si="10"/>
        <v>-218653.83333333331</v>
      </c>
      <c r="Q56" s="601">
        <f t="shared" si="10"/>
        <v>-263653.83333333331</v>
      </c>
      <c r="R56" s="601">
        <f t="shared" si="10"/>
        <v>-248653.83333333331</v>
      </c>
      <c r="S56" s="601">
        <f t="shared" si="10"/>
        <v>-218653.83333333331</v>
      </c>
      <c r="T56" s="601">
        <f t="shared" si="10"/>
        <v>-233653.83333333331</v>
      </c>
      <c r="U56" s="601">
        <f t="shared" si="10"/>
        <v>-268653.83333333331</v>
      </c>
      <c r="V56" s="601">
        <f t="shared" si="10"/>
        <v>-263653.83333333331</v>
      </c>
      <c r="W56" s="601">
        <f t="shared" si="10"/>
        <v>-308653.83333333331</v>
      </c>
      <c r="X56" s="601">
        <f t="shared" si="10"/>
        <v>-218653.83333333331</v>
      </c>
      <c r="Y56" s="601">
        <f t="shared" si="10"/>
        <v>-218653.83333333331</v>
      </c>
      <c r="Z56" s="601">
        <f t="shared" si="10"/>
        <v>-218653.83333333331</v>
      </c>
      <c r="AA56" s="601">
        <f t="shared" si="10"/>
        <v>-263653.83333333331</v>
      </c>
      <c r="AB56" s="919"/>
      <c r="AC56" s="601">
        <f>SUM(AC42:AC55)</f>
        <v>-7443070.4822194483</v>
      </c>
    </row>
    <row r="57" spans="1:29" s="398" customFormat="1" ht="15" x14ac:dyDescent="0.25">
      <c r="B57" s="399" t="s">
        <v>232</v>
      </c>
      <c r="C57" s="375"/>
      <c r="D57" s="400"/>
      <c r="E57" s="401"/>
      <c r="F57" s="375"/>
      <c r="G57" s="379"/>
      <c r="H57" s="602">
        <f t="shared" ref="H57:Z57" si="11">H40+H56</f>
        <v>-402525.69444444444</v>
      </c>
      <c r="I57" s="380">
        <f t="shared" si="11"/>
        <v>-332128.83333333331</v>
      </c>
      <c r="J57" s="380">
        <f>J40+J56</f>
        <v>-342128.83333333331</v>
      </c>
      <c r="K57" s="380">
        <f t="shared" si="11"/>
        <v>-377128.83333333331</v>
      </c>
      <c r="L57" s="380">
        <f t="shared" si="11"/>
        <v>-372128.83333333331</v>
      </c>
      <c r="M57" s="380">
        <f t="shared" si="11"/>
        <v>-415628.83333333331</v>
      </c>
      <c r="N57" s="380">
        <f t="shared" si="11"/>
        <v>-325628.83333333331</v>
      </c>
      <c r="O57" s="380">
        <f t="shared" si="11"/>
        <v>-325628.83333333331</v>
      </c>
      <c r="P57" s="380">
        <f t="shared" si="11"/>
        <v>-325628.83333333331</v>
      </c>
      <c r="Q57" s="380">
        <f t="shared" si="11"/>
        <v>-370628.83333333331</v>
      </c>
      <c r="R57" s="380">
        <f t="shared" si="11"/>
        <v>-355628.83333333331</v>
      </c>
      <c r="S57" s="380">
        <f t="shared" si="11"/>
        <v>-325628.83333333331</v>
      </c>
      <c r="T57" s="380">
        <f t="shared" si="11"/>
        <v>-340628.83333333331</v>
      </c>
      <c r="U57" s="380">
        <f t="shared" si="11"/>
        <v>-375628.83333333331</v>
      </c>
      <c r="V57" s="380">
        <f t="shared" si="11"/>
        <v>-370628.83333333331</v>
      </c>
      <c r="W57" s="380">
        <f t="shared" si="11"/>
        <v>-415628.83333333331</v>
      </c>
      <c r="X57" s="380">
        <f t="shared" si="11"/>
        <v>-325628.83333333331</v>
      </c>
      <c r="Y57" s="380">
        <f t="shared" si="11"/>
        <v>-325628.83333333331</v>
      </c>
      <c r="Z57" s="380">
        <f t="shared" si="11"/>
        <v>-325628.83333333331</v>
      </c>
      <c r="AA57" s="380">
        <f>AA40+AA56</f>
        <v>-370628.83333333331</v>
      </c>
      <c r="AB57" s="921"/>
      <c r="AC57" s="380">
        <f>AC40+AC56</f>
        <v>-10606474.053648023</v>
      </c>
    </row>
    <row r="58" spans="1:29" x14ac:dyDescent="0.2">
      <c r="B58" s="402" t="s">
        <v>68</v>
      </c>
      <c r="C58" s="353"/>
      <c r="D58" s="351" t="s">
        <v>55</v>
      </c>
      <c r="E58" s="352"/>
      <c r="F58" s="353"/>
      <c r="G58" s="351"/>
      <c r="H58" s="403">
        <f t="shared" ref="H58:Z58" si="12">H40/H57</f>
        <v>0.26575943219635739</v>
      </c>
      <c r="I58" s="403">
        <f t="shared" si="12"/>
        <v>0.32208886812496962</v>
      </c>
      <c r="J58" s="403">
        <f>J40/J57</f>
        <v>0.31267461136716046</v>
      </c>
      <c r="K58" s="403">
        <f t="shared" si="12"/>
        <v>0.28365638090961842</v>
      </c>
      <c r="L58" s="403">
        <f t="shared" si="12"/>
        <v>0.28746764673345659</v>
      </c>
      <c r="M58" s="403">
        <f t="shared" si="12"/>
        <v>0.25738108480603489</v>
      </c>
      <c r="N58" s="403">
        <f t="shared" si="12"/>
        <v>0.32851820554383748</v>
      </c>
      <c r="O58" s="403">
        <f t="shared" si="12"/>
        <v>0.32851820554383748</v>
      </c>
      <c r="P58" s="403">
        <f t="shared" si="12"/>
        <v>0.32851820554383748</v>
      </c>
      <c r="Q58" s="403">
        <f t="shared" si="12"/>
        <v>0.28863107880165828</v>
      </c>
      <c r="R58" s="403">
        <f t="shared" si="12"/>
        <v>0.30080519342966661</v>
      </c>
      <c r="S58" s="403">
        <f t="shared" si="12"/>
        <v>0.32851820554383748</v>
      </c>
      <c r="T58" s="403">
        <f t="shared" si="12"/>
        <v>0.31405151159155154</v>
      </c>
      <c r="U58" s="403">
        <f t="shared" si="12"/>
        <v>0.28478910697749954</v>
      </c>
      <c r="V58" s="403">
        <f t="shared" si="12"/>
        <v>0.28863107880165828</v>
      </c>
      <c r="W58" s="403">
        <f t="shared" si="12"/>
        <v>0.25738108480603489</v>
      </c>
      <c r="X58" s="403">
        <f t="shared" si="12"/>
        <v>0.32851820554383748</v>
      </c>
      <c r="Y58" s="403">
        <f t="shared" si="12"/>
        <v>0.32851820554383748</v>
      </c>
      <c r="Z58" s="403">
        <f t="shared" si="12"/>
        <v>0.32851820554383748</v>
      </c>
      <c r="AA58" s="403">
        <f>AA40/AA57</f>
        <v>0.28863107880165828</v>
      </c>
      <c r="AB58" s="923"/>
      <c r="AC58" s="598"/>
    </row>
    <row r="59" spans="1:29" x14ac:dyDescent="0.2">
      <c r="B59" s="402" t="s">
        <v>69</v>
      </c>
      <c r="C59" s="353"/>
      <c r="D59" s="351" t="s">
        <v>65</v>
      </c>
      <c r="E59" s="352"/>
      <c r="F59" s="353"/>
      <c r="G59" s="351"/>
      <c r="H59" s="403">
        <f>H56/H57</f>
        <v>0.73424056780364266</v>
      </c>
      <c r="I59" s="403">
        <f>I56/I57</f>
        <v>0.67791113187503038</v>
      </c>
      <c r="J59" s="403">
        <f t="shared" ref="J59:Z59" si="13">J56/J57</f>
        <v>0.68732538863283954</v>
      </c>
      <c r="K59" s="403">
        <f t="shared" si="13"/>
        <v>0.71634361909038158</v>
      </c>
      <c r="L59" s="403">
        <f t="shared" si="13"/>
        <v>0.71253235326654341</v>
      </c>
      <c r="M59" s="403">
        <f t="shared" si="13"/>
        <v>0.74261891519396517</v>
      </c>
      <c r="N59" s="403">
        <f t="shared" si="13"/>
        <v>0.67148179445616252</v>
      </c>
      <c r="O59" s="403">
        <f t="shared" si="13"/>
        <v>0.67148179445616252</v>
      </c>
      <c r="P59" s="403">
        <f t="shared" si="13"/>
        <v>0.67148179445616252</v>
      </c>
      <c r="Q59" s="403">
        <f t="shared" si="13"/>
        <v>0.71136892119834172</v>
      </c>
      <c r="R59" s="403">
        <f t="shared" si="13"/>
        <v>0.69919480657033339</v>
      </c>
      <c r="S59" s="403">
        <f t="shared" si="13"/>
        <v>0.67148179445616252</v>
      </c>
      <c r="T59" s="403">
        <f t="shared" si="13"/>
        <v>0.68594848840844846</v>
      </c>
      <c r="U59" s="403">
        <f t="shared" si="13"/>
        <v>0.71521089302250052</v>
      </c>
      <c r="V59" s="403">
        <f t="shared" si="13"/>
        <v>0.71136892119834172</v>
      </c>
      <c r="W59" s="403">
        <f t="shared" si="13"/>
        <v>0.74261891519396517</v>
      </c>
      <c r="X59" s="403">
        <f t="shared" si="13"/>
        <v>0.67148179445616252</v>
      </c>
      <c r="Y59" s="403">
        <f t="shared" si="13"/>
        <v>0.67148179445616252</v>
      </c>
      <c r="Z59" s="403">
        <f t="shared" si="13"/>
        <v>0.67148179445616252</v>
      </c>
      <c r="AA59" s="403">
        <f>AA56/AA57</f>
        <v>0.71136892119834172</v>
      </c>
      <c r="AB59" s="923"/>
      <c r="AC59" s="598"/>
    </row>
    <row r="60" spans="1:29" x14ac:dyDescent="0.2">
      <c r="C60" s="398"/>
      <c r="D60" s="398"/>
      <c r="E60" s="398"/>
      <c r="F60" s="398"/>
      <c r="G60" s="398"/>
    </row>
    <row r="61" spans="1:29" ht="15" x14ac:dyDescent="0.2">
      <c r="B61" s="627" t="s">
        <v>123</v>
      </c>
      <c r="C61" s="398"/>
      <c r="D61" s="398"/>
      <c r="E61" s="398"/>
      <c r="F61" s="398"/>
      <c r="G61" s="398"/>
    </row>
    <row r="62" spans="1:29" ht="15" x14ac:dyDescent="0.25">
      <c r="A62" s="404"/>
      <c r="B62" s="405"/>
      <c r="C62" s="404"/>
      <c r="D62" s="398"/>
      <c r="E62" s="398"/>
      <c r="F62" s="398"/>
      <c r="G62" s="398"/>
    </row>
    <row r="63" spans="1:29" ht="15" x14ac:dyDescent="0.25">
      <c r="A63" s="404"/>
      <c r="B63" s="405" t="s">
        <v>876</v>
      </c>
      <c r="C63" s="404"/>
      <c r="D63" s="398"/>
      <c r="E63" s="398"/>
      <c r="F63" s="398"/>
      <c r="G63" s="398"/>
    </row>
    <row r="64" spans="1:29" ht="15" x14ac:dyDescent="0.25">
      <c r="A64" s="404"/>
      <c r="B64" s="405"/>
      <c r="C64" s="404"/>
      <c r="D64" s="398"/>
      <c r="E64" s="398"/>
      <c r="F64" s="398"/>
      <c r="G64" s="398"/>
    </row>
    <row r="65" spans="1:7" x14ac:dyDescent="0.2">
      <c r="A65" s="404"/>
      <c r="B65" s="328" t="s">
        <v>827</v>
      </c>
      <c r="C65" s="404"/>
      <c r="D65" s="398"/>
      <c r="E65" s="398"/>
      <c r="F65" s="398"/>
      <c r="G65" s="398"/>
    </row>
    <row r="66" spans="1:7" x14ac:dyDescent="0.2">
      <c r="A66" s="404"/>
      <c r="B66" s="328" t="s">
        <v>881</v>
      </c>
      <c r="C66" s="404"/>
      <c r="D66" s="398"/>
      <c r="E66" s="398"/>
      <c r="F66" s="398"/>
      <c r="G66" s="398"/>
    </row>
    <row r="67" spans="1:7" x14ac:dyDescent="0.2">
      <c r="A67" s="404"/>
      <c r="B67" s="916" t="s">
        <v>808</v>
      </c>
      <c r="C67" s="404"/>
      <c r="D67" s="398"/>
      <c r="E67" s="398"/>
      <c r="F67" s="398"/>
      <c r="G67" s="398"/>
    </row>
    <row r="68" spans="1:7" ht="15" x14ac:dyDescent="0.25">
      <c r="A68" s="404"/>
      <c r="B68" s="405"/>
      <c r="C68" s="404"/>
      <c r="D68" s="398"/>
      <c r="E68" s="398"/>
      <c r="F68" s="398"/>
      <c r="G68" s="398"/>
    </row>
    <row r="69" spans="1:7" x14ac:dyDescent="0.2">
      <c r="A69" s="404"/>
      <c r="B69" s="404" t="s">
        <v>805</v>
      </c>
      <c r="C69" s="912">
        <v>3.5000000000000003E-2</v>
      </c>
      <c r="D69" s="398" t="s">
        <v>877</v>
      </c>
      <c r="E69" s="398"/>
      <c r="F69" s="398"/>
      <c r="G69" s="398"/>
    </row>
    <row r="70" spans="1:7" x14ac:dyDescent="0.2">
      <c r="A70" s="404"/>
      <c r="B70" s="404" t="s">
        <v>806</v>
      </c>
      <c r="C70" s="931">
        <f>(1/((1+$C$69)^19))</f>
        <v>0.52015569038677911</v>
      </c>
      <c r="D70" s="398" t="s">
        <v>807</v>
      </c>
      <c r="E70" s="398"/>
      <c r="F70" s="398"/>
      <c r="G70" s="398"/>
    </row>
    <row r="71" spans="1:7" x14ac:dyDescent="0.2">
      <c r="A71" s="404"/>
      <c r="B71" s="404"/>
      <c r="C71" s="404"/>
      <c r="D71" s="398"/>
      <c r="E71" s="398"/>
      <c r="F71" s="398"/>
      <c r="G71" s="398"/>
    </row>
    <row r="72" spans="1:7" x14ac:dyDescent="0.2">
      <c r="A72" s="404"/>
      <c r="B72" s="914" t="s">
        <v>915</v>
      </c>
      <c r="C72" s="404"/>
      <c r="D72" s="398"/>
      <c r="E72" s="398"/>
      <c r="F72" s="398"/>
      <c r="G72" s="398"/>
    </row>
    <row r="73" spans="1:7" x14ac:dyDescent="0.2">
      <c r="A73" s="404"/>
      <c r="B73" s="404" t="s">
        <v>813</v>
      </c>
      <c r="C73" s="913">
        <f>((1+C69)/C69)*(1-(1/(1+C69)^20))</f>
        <v>14.709837417520594</v>
      </c>
      <c r="D73" s="398"/>
      <c r="E73" s="398"/>
      <c r="F73" s="398"/>
      <c r="G73" s="398"/>
    </row>
    <row r="74" spans="1:7" x14ac:dyDescent="0.2">
      <c r="A74" s="404"/>
      <c r="B74" s="404" t="s">
        <v>878</v>
      </c>
      <c r="C74" s="404"/>
      <c r="D74" s="398"/>
      <c r="E74" s="398"/>
      <c r="F74" s="398"/>
      <c r="G74" s="398"/>
    </row>
    <row r="75" spans="1:7" x14ac:dyDescent="0.2">
      <c r="A75" s="404"/>
      <c r="B75" s="404" t="s">
        <v>879</v>
      </c>
      <c r="C75" s="404"/>
      <c r="D75" s="398"/>
      <c r="E75" s="398"/>
    </row>
    <row r="76" spans="1:7" x14ac:dyDescent="0.2">
      <c r="A76" s="404"/>
      <c r="C76" s="408"/>
      <c r="D76" s="398"/>
      <c r="E76" s="398"/>
    </row>
    <row r="77" spans="1:7" x14ac:dyDescent="0.2">
      <c r="A77" s="404"/>
      <c r="B77" s="916" t="s">
        <v>880</v>
      </c>
      <c r="C77" s="408"/>
      <c r="D77" s="398"/>
      <c r="E77" s="398"/>
    </row>
    <row r="78" spans="1:7" x14ac:dyDescent="0.2">
      <c r="A78" s="404"/>
      <c r="B78" s="916" t="s">
        <v>916</v>
      </c>
      <c r="C78" s="408"/>
      <c r="D78" s="398"/>
      <c r="E78" s="398"/>
    </row>
    <row r="79" spans="1:7" x14ac:dyDescent="0.2">
      <c r="A79" s="404"/>
      <c r="B79" s="404" t="s">
        <v>814</v>
      </c>
      <c r="C79" s="915">
        <f>(NPV(C69,I42:AA42)+H42)/C73</f>
        <v>-54955.241276181863</v>
      </c>
    </row>
    <row r="80" spans="1:7" x14ac:dyDescent="0.2">
      <c r="A80" s="404"/>
      <c r="B80" s="404" t="s">
        <v>815</v>
      </c>
      <c r="C80" s="915">
        <f>(NPV(C69,I43:AA43)+H43)/C73</f>
        <v>-21926.157713900877</v>
      </c>
    </row>
    <row r="81" spans="1:3" x14ac:dyDescent="0.2">
      <c r="A81" s="404"/>
      <c r="B81" s="404"/>
      <c r="C81" s="404"/>
    </row>
    <row r="82" spans="1:3" ht="15" x14ac:dyDescent="0.25">
      <c r="A82" s="404"/>
      <c r="B82" s="409" t="s">
        <v>620</v>
      </c>
      <c r="C82" s="404"/>
    </row>
    <row r="83" spans="1:3" x14ac:dyDescent="0.2">
      <c r="A83" s="404"/>
      <c r="B83" s="404" t="s">
        <v>833</v>
      </c>
      <c r="C83" s="404"/>
    </row>
    <row r="84" spans="1:3" x14ac:dyDescent="0.2">
      <c r="A84" s="404"/>
      <c r="B84" s="404" t="s">
        <v>852</v>
      </c>
      <c r="C84" s="404"/>
    </row>
    <row r="85" spans="1:3" ht="15" x14ac:dyDescent="0.25">
      <c r="A85" s="404"/>
      <c r="B85" s="409"/>
      <c r="C85" s="404"/>
    </row>
    <row r="86" spans="1:3" x14ac:dyDescent="0.2">
      <c r="A86" s="404"/>
      <c r="B86" s="404"/>
      <c r="C86" s="404"/>
    </row>
    <row r="87" spans="1:3" ht="15" x14ac:dyDescent="0.25">
      <c r="A87" s="404"/>
      <c r="B87" s="404"/>
      <c r="C87" s="406"/>
    </row>
    <row r="88" spans="1:3" ht="15" x14ac:dyDescent="0.25">
      <c r="A88" s="410"/>
      <c r="B88" s="410"/>
      <c r="C88" s="411"/>
    </row>
    <row r="89" spans="1:3" ht="15" x14ac:dyDescent="0.2">
      <c r="A89" s="412"/>
      <c r="B89" s="407"/>
    </row>
    <row r="90" spans="1:3" ht="15" x14ac:dyDescent="0.2">
      <c r="A90" s="412"/>
      <c r="B90" s="407"/>
    </row>
  </sheetData>
  <customSheetViews>
    <customSheetView guid="{F0620CD8-87A9-448D-9A15-FA44C9D2FC91}" scale="80">
      <pageMargins left="0.7" right="0.7" top="0.75" bottom="0.75" header="0.3" footer="0.3"/>
      <pageSetup paperSize="9" orientation="portrait" r:id="rId1"/>
    </customSheetView>
  </customSheetViews>
  <mergeCells count="1">
    <mergeCell ref="H30:AA30"/>
  </mergeCells>
  <dataValidations count="2">
    <dataValidation type="list" allowBlank="1" showInputMessage="1" showErrorMessage="1" sqref="D33:D39 D58:D59 D42:D55">
      <formula1>"NE, Not NE"</formula1>
    </dataValidation>
    <dataValidation allowBlank="1" showInputMessage="1" showErrorMessage="1" prompt="Enter any further categories of cost here. Only enter costs paid by NE. Enter inputs made by others further up the table._x000a__x000a_If you chose to separate inputs into legal/moral obligations and nature conservation, use a separate row for each." sqref="B52:B55"/>
  </dataValidations>
  <hyperlinks>
    <hyperlink ref="B28" location="'Cost Initial'!A1" display="Click here to enter data for the first year for another input or cost."/>
    <hyperlink ref="B61" location="Values!A1" display="Go to next sheet"/>
  </hyperlinks>
  <pageMargins left="0.7" right="0.7" top="0.75" bottom="0.75" header="0.3" footer="0.3"/>
  <pageSetup paperSize="9" orientation="portrait" r:id="rId2"/>
  <ignoredErrors>
    <ignoredError sqref="H45" unlockedFormula="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CN410"/>
  <sheetViews>
    <sheetView zoomScale="80" zoomScaleNormal="80" workbookViewId="0"/>
  </sheetViews>
  <sheetFormatPr defaultRowHeight="15" x14ac:dyDescent="0.2"/>
  <cols>
    <col min="1" max="1" width="4.77734375" style="46" customWidth="1"/>
    <col min="2" max="2" width="29" style="46" customWidth="1"/>
    <col min="3" max="3" width="22.6640625" style="46" customWidth="1"/>
    <col min="4" max="4" width="26.5546875" style="46" customWidth="1"/>
    <col min="5" max="5" width="11.6640625" style="46" customWidth="1"/>
    <col min="6" max="6" width="13.21875" style="46" customWidth="1"/>
    <col min="7" max="7" width="12.77734375" style="46" customWidth="1"/>
    <col min="8" max="8" width="12.6640625" style="46" customWidth="1"/>
    <col min="9" max="9" width="21.109375" style="46" customWidth="1"/>
    <col min="10" max="10" width="20.6640625" style="46" customWidth="1"/>
    <col min="11" max="11" width="14.44140625" style="46" customWidth="1"/>
    <col min="12" max="12" width="11.109375" style="46" customWidth="1"/>
    <col min="13" max="13" width="12.77734375" style="46" customWidth="1"/>
    <col min="14" max="14" width="13.44140625" style="46" customWidth="1"/>
    <col min="15" max="15" width="12.77734375" style="46" customWidth="1"/>
    <col min="16" max="16" width="13.33203125" style="46" customWidth="1"/>
    <col min="17" max="17" width="19.21875" style="46" customWidth="1"/>
    <col min="18" max="22" width="9" style="46" customWidth="1"/>
    <col min="23" max="26" width="8.88671875" style="46"/>
    <col min="27" max="27" width="0" style="46" hidden="1" customWidth="1"/>
    <col min="28" max="16384" width="8.88671875" style="46"/>
  </cols>
  <sheetData>
    <row r="1" spans="2:27" x14ac:dyDescent="0.2">
      <c r="AA1" s="46" t="s">
        <v>272</v>
      </c>
    </row>
    <row r="2" spans="2:27" ht="15.75" x14ac:dyDescent="0.25">
      <c r="B2" s="48" t="s">
        <v>1116</v>
      </c>
      <c r="AA2" s="46" t="s">
        <v>273</v>
      </c>
    </row>
    <row r="3" spans="2:27" ht="18" x14ac:dyDescent="0.25">
      <c r="B3" s="45"/>
    </row>
    <row r="4" spans="2:27" ht="15.75" x14ac:dyDescent="0.25">
      <c r="B4" s="99" t="s">
        <v>97</v>
      </c>
    </row>
    <row r="5" spans="2:27" x14ac:dyDescent="0.2">
      <c r="B5" s="46" t="s">
        <v>1079</v>
      </c>
    </row>
    <row r="6" spans="2:27" x14ac:dyDescent="0.2">
      <c r="B6" s="46" t="s">
        <v>1080</v>
      </c>
    </row>
    <row r="7" spans="2:27" x14ac:dyDescent="0.2">
      <c r="B7" s="46" t="s">
        <v>1081</v>
      </c>
    </row>
    <row r="8" spans="2:27" x14ac:dyDescent="0.2">
      <c r="B8" s="46" t="s">
        <v>1062</v>
      </c>
    </row>
    <row r="9" spans="2:27" ht="18" x14ac:dyDescent="0.25">
      <c r="B9" s="45"/>
    </row>
    <row r="10" spans="2:27" x14ac:dyDescent="0.2">
      <c r="B10" s="47" t="s">
        <v>4</v>
      </c>
      <c r="C10" s="69" t="str">
        <f>Focus!C16</f>
        <v>Shapwick Heath NNR</v>
      </c>
    </row>
    <row r="11" spans="2:27" x14ac:dyDescent="0.2">
      <c r="B11" s="47"/>
      <c r="C11" s="69"/>
    </row>
    <row r="12" spans="2:27" ht="18" x14ac:dyDescent="0.25">
      <c r="B12" s="571" t="s">
        <v>373</v>
      </c>
      <c r="C12" s="69"/>
    </row>
    <row r="14" spans="2:27" x14ac:dyDescent="0.2">
      <c r="B14" s="699" t="s">
        <v>883</v>
      </c>
      <c r="E14" s="807">
        <v>0.25</v>
      </c>
      <c r="F14" s="964" t="s">
        <v>1094</v>
      </c>
    </row>
    <row r="15" spans="2:27" ht="18" x14ac:dyDescent="0.25">
      <c r="B15" s="571"/>
      <c r="C15" s="69"/>
    </row>
    <row r="16" spans="2:27" ht="15.75" x14ac:dyDescent="0.25">
      <c r="B16" s="48" t="s">
        <v>1029</v>
      </c>
      <c r="C16" s="69"/>
    </row>
    <row r="17" spans="2:11" ht="18" x14ac:dyDescent="0.25">
      <c r="B17" s="571"/>
      <c r="C17" s="69"/>
    </row>
    <row r="18" spans="2:11" x14ac:dyDescent="0.2">
      <c r="B18" s="49" t="s">
        <v>371</v>
      </c>
      <c r="C18" s="69"/>
    </row>
    <row r="19" spans="2:11" x14ac:dyDescent="0.2">
      <c r="B19" s="49" t="s">
        <v>524</v>
      </c>
      <c r="C19" s="69"/>
    </row>
    <row r="20" spans="2:11" x14ac:dyDescent="0.2">
      <c r="B20" s="49" t="s">
        <v>374</v>
      </c>
      <c r="C20" s="69"/>
    </row>
    <row r="21" spans="2:11" x14ac:dyDescent="0.2">
      <c r="B21" s="49" t="s">
        <v>361</v>
      </c>
      <c r="C21" s="69"/>
    </row>
    <row r="22" spans="2:11" x14ac:dyDescent="0.2">
      <c r="B22" s="737" t="s">
        <v>566</v>
      </c>
      <c r="C22" s="69"/>
    </row>
    <row r="23" spans="2:11" x14ac:dyDescent="0.2">
      <c r="B23" s="49"/>
      <c r="C23" s="69"/>
    </row>
    <row r="24" spans="2:11" ht="30" x14ac:dyDescent="0.2">
      <c r="B24" s="676"/>
      <c r="C24" s="677"/>
      <c r="D24" s="678"/>
      <c r="E24" s="682"/>
      <c r="F24" s="679" t="s">
        <v>366</v>
      </c>
      <c r="G24" s="680" t="s">
        <v>364</v>
      </c>
      <c r="H24" s="681" t="s">
        <v>189</v>
      </c>
      <c r="I24" s="678"/>
      <c r="J24" s="678"/>
      <c r="K24" s="50"/>
    </row>
    <row r="25" spans="2:11" x14ac:dyDescent="0.2">
      <c r="B25" s="733" t="s">
        <v>560</v>
      </c>
      <c r="C25" s="734"/>
      <c r="D25" s="50"/>
      <c r="E25" s="50"/>
      <c r="F25" s="735">
        <f>'G &amp; S Initial'!C32</f>
        <v>80000</v>
      </c>
      <c r="G25" s="736" t="str">
        <f>'G &amp; S Initial'!C15</f>
        <v>2017</v>
      </c>
      <c r="H25" s="683"/>
      <c r="I25" s="50"/>
      <c r="J25" s="50"/>
      <c r="K25" s="50"/>
    </row>
    <row r="26" spans="2:11" x14ac:dyDescent="0.2">
      <c r="B26" s="739" t="s">
        <v>567</v>
      </c>
      <c r="C26" s="734"/>
      <c r="D26" s="50"/>
      <c r="E26" s="50"/>
      <c r="F26" s="735"/>
      <c r="G26" s="736"/>
      <c r="H26" s="683"/>
      <c r="I26" s="50"/>
      <c r="J26" s="50"/>
      <c r="K26" s="50"/>
    </row>
    <row r="27" spans="2:11" x14ac:dyDescent="0.2">
      <c r="B27" s="49" t="s">
        <v>431</v>
      </c>
      <c r="C27" s="69"/>
      <c r="F27" s="675"/>
      <c r="G27" s="551">
        <v>2017</v>
      </c>
      <c r="H27" s="1286"/>
      <c r="I27" s="1275"/>
      <c r="J27" s="1275"/>
    </row>
    <row r="28" spans="2:11" x14ac:dyDescent="0.2">
      <c r="B28" s="738" t="s">
        <v>756</v>
      </c>
      <c r="C28" s="69"/>
      <c r="F28" s="675">
        <v>1</v>
      </c>
      <c r="G28" s="551">
        <v>2017</v>
      </c>
      <c r="H28" s="1286"/>
      <c r="I28" s="1275"/>
      <c r="J28" s="1275"/>
    </row>
    <row r="29" spans="2:11" x14ac:dyDescent="0.2">
      <c r="B29" s="744" t="s">
        <v>568</v>
      </c>
      <c r="C29" s="69"/>
      <c r="F29" s="745"/>
      <c r="H29" s="683"/>
      <c r="I29" s="742"/>
      <c r="J29" s="742"/>
    </row>
    <row r="30" spans="2:11" x14ac:dyDescent="0.2">
      <c r="B30" s="49" t="s">
        <v>523</v>
      </c>
      <c r="C30" s="69"/>
      <c r="F30" s="675">
        <v>0</v>
      </c>
      <c r="G30" s="551"/>
      <c r="H30" s="1286"/>
      <c r="I30" s="1275"/>
      <c r="J30" s="1275"/>
    </row>
    <row r="31" spans="2:11" x14ac:dyDescent="0.2">
      <c r="B31" s="746" t="s">
        <v>550</v>
      </c>
      <c r="C31" s="69"/>
      <c r="F31" s="745"/>
      <c r="H31" s="683"/>
      <c r="I31" s="742"/>
      <c r="J31" s="742"/>
      <c r="K31" s="742"/>
    </row>
    <row r="32" spans="2:11" x14ac:dyDescent="0.2">
      <c r="B32" s="748" t="s">
        <v>526</v>
      </c>
      <c r="C32" s="69"/>
      <c r="F32" s="719">
        <f>F27*F28</f>
        <v>0</v>
      </c>
      <c r="H32" s="683" t="s">
        <v>367</v>
      </c>
      <c r="I32" s="684"/>
      <c r="J32" s="684"/>
      <c r="K32" s="742"/>
    </row>
    <row r="33" spans="2:11" x14ac:dyDescent="0.2">
      <c r="B33" s="49" t="s">
        <v>558</v>
      </c>
      <c r="C33" s="69"/>
      <c r="F33" s="747">
        <f>F27/(F25*E14)</f>
        <v>0</v>
      </c>
      <c r="H33" s="683" t="s">
        <v>561</v>
      </c>
      <c r="I33" s="684"/>
      <c r="J33" s="684"/>
      <c r="K33" s="742"/>
    </row>
    <row r="34" spans="2:11" x14ac:dyDescent="0.2">
      <c r="B34" s="49"/>
      <c r="C34" s="69"/>
    </row>
    <row r="35" spans="2:11" x14ac:dyDescent="0.2">
      <c r="B35" s="49" t="s">
        <v>363</v>
      </c>
      <c r="C35" s="69"/>
    </row>
    <row r="36" spans="2:11" x14ac:dyDescent="0.2">
      <c r="B36" s="49"/>
      <c r="C36" s="69"/>
    </row>
    <row r="37" spans="2:11" ht="15.75" x14ac:dyDescent="0.25">
      <c r="B37" s="48" t="s">
        <v>572</v>
      </c>
      <c r="C37" s="69"/>
    </row>
    <row r="38" spans="2:11" x14ac:dyDescent="0.2">
      <c r="B38" s="49"/>
      <c r="C38" s="69"/>
    </row>
    <row r="39" spans="2:11" x14ac:dyDescent="0.2">
      <c r="B39" s="49" t="s">
        <v>535</v>
      </c>
      <c r="C39" s="69"/>
    </row>
    <row r="40" spans="2:11" x14ac:dyDescent="0.2">
      <c r="C40" s="69"/>
    </row>
    <row r="41" spans="2:11" ht="30" x14ac:dyDescent="0.2">
      <c r="B41" s="676"/>
      <c r="C41" s="677"/>
      <c r="D41" s="682"/>
      <c r="E41" s="678"/>
      <c r="F41" s="680" t="s">
        <v>364</v>
      </c>
      <c r="G41" s="681" t="s">
        <v>189</v>
      </c>
      <c r="H41" s="678"/>
      <c r="I41" s="678"/>
      <c r="J41" s="678"/>
      <c r="K41" s="50"/>
    </row>
    <row r="42" spans="2:11" x14ac:dyDescent="0.2">
      <c r="B42" s="739" t="s">
        <v>573</v>
      </c>
      <c r="C42" s="734"/>
      <c r="D42" s="698"/>
      <c r="E42" s="50"/>
      <c r="F42" s="749"/>
      <c r="G42" s="750"/>
      <c r="H42" s="751"/>
      <c r="I42" s="751"/>
      <c r="J42" s="751"/>
    </row>
    <row r="43" spans="2:11" x14ac:dyDescent="0.2">
      <c r="B43" s="49" t="s">
        <v>576</v>
      </c>
      <c r="C43" s="69"/>
      <c r="D43" s="698"/>
      <c r="E43" s="551">
        <v>2</v>
      </c>
      <c r="F43" s="551">
        <v>2017</v>
      </c>
      <c r="G43" s="1286"/>
      <c r="H43" s="1286"/>
      <c r="I43" s="1286"/>
      <c r="J43" s="1286"/>
    </row>
    <row r="44" spans="2:11" x14ac:dyDescent="0.2">
      <c r="B44" s="49" t="s">
        <v>575</v>
      </c>
      <c r="C44" s="734"/>
      <c r="D44" s="698"/>
      <c r="E44" s="806">
        <v>0.95</v>
      </c>
      <c r="F44" s="551"/>
      <c r="G44" s="1286"/>
      <c r="H44" s="1286"/>
      <c r="I44" s="1286"/>
      <c r="J44" s="1286"/>
    </row>
    <row r="45" spans="2:11" x14ac:dyDescent="0.2">
      <c r="B45" s="740" t="s">
        <v>529</v>
      </c>
      <c r="C45" s="734"/>
      <c r="D45" s="698"/>
      <c r="E45" s="50"/>
      <c r="G45" s="1283"/>
      <c r="H45" s="1283"/>
      <c r="I45" s="1283"/>
      <c r="J45" s="1283"/>
    </row>
    <row r="46" spans="2:11" ht="15.75" x14ac:dyDescent="0.25">
      <c r="B46" s="49" t="s">
        <v>577</v>
      </c>
      <c r="C46" s="69"/>
      <c r="D46" s="698"/>
      <c r="G46" s="1283"/>
      <c r="H46" s="1283"/>
      <c r="I46" s="1283"/>
      <c r="J46" s="1283"/>
    </row>
    <row r="47" spans="2:11" x14ac:dyDescent="0.2">
      <c r="B47" s="740" t="s">
        <v>532</v>
      </c>
      <c r="C47" s="69"/>
      <c r="D47" s="698"/>
      <c r="E47" s="551">
        <v>2</v>
      </c>
      <c r="F47" s="551"/>
      <c r="G47" s="1282"/>
      <c r="H47" s="1282"/>
      <c r="I47" s="1282"/>
      <c r="J47" s="1282"/>
    </row>
    <row r="48" spans="2:11" x14ac:dyDescent="0.2">
      <c r="B48" s="740" t="s">
        <v>533</v>
      </c>
      <c r="C48" s="69"/>
      <c r="E48" s="675"/>
      <c r="F48" s="551"/>
      <c r="G48" s="1282"/>
      <c r="H48" s="1282"/>
      <c r="I48" s="1282"/>
      <c r="J48" s="1282"/>
    </row>
    <row r="49" spans="2:11" x14ac:dyDescent="0.2">
      <c r="B49" s="740" t="s">
        <v>534</v>
      </c>
      <c r="C49" s="69"/>
      <c r="E49" s="675"/>
      <c r="F49" s="551"/>
      <c r="G49" s="1282"/>
      <c r="H49" s="1282"/>
      <c r="I49" s="1282"/>
      <c r="J49" s="1282"/>
    </row>
    <row r="50" spans="2:11" x14ac:dyDescent="0.2">
      <c r="B50" s="744" t="s">
        <v>574</v>
      </c>
      <c r="C50" s="69"/>
      <c r="E50" s="745"/>
      <c r="G50" s="741"/>
      <c r="H50" s="742"/>
      <c r="I50" s="742"/>
      <c r="J50" s="742"/>
    </row>
    <row r="51" spans="2:11" x14ac:dyDescent="0.2">
      <c r="B51" s="49" t="s">
        <v>967</v>
      </c>
      <c r="C51" s="69"/>
      <c r="E51" s="752"/>
      <c r="F51" s="551"/>
      <c r="G51" s="1282"/>
      <c r="H51" s="1282"/>
      <c r="I51" s="1282"/>
      <c r="J51" s="1282"/>
    </row>
    <row r="52" spans="2:11" x14ac:dyDescent="0.2">
      <c r="B52" s="740" t="s">
        <v>529</v>
      </c>
      <c r="C52" s="69"/>
      <c r="E52" s="745"/>
      <c r="G52" s="743"/>
      <c r="H52" s="742"/>
      <c r="I52" s="742"/>
      <c r="J52" s="742"/>
    </row>
    <row r="53" spans="2:11" x14ac:dyDescent="0.2">
      <c r="B53" s="49" t="s">
        <v>965</v>
      </c>
      <c r="C53" s="69"/>
      <c r="E53" s="1025">
        <v>0</v>
      </c>
      <c r="F53" s="551"/>
      <c r="G53" s="1282"/>
      <c r="H53" s="1282"/>
      <c r="I53" s="1282"/>
      <c r="J53" s="1282"/>
    </row>
    <row r="54" spans="2:11" x14ac:dyDescent="0.2">
      <c r="B54" s="740" t="s">
        <v>966</v>
      </c>
      <c r="C54" s="69"/>
      <c r="E54" s="752"/>
      <c r="F54" s="551"/>
      <c r="G54" s="1024"/>
      <c r="H54" s="1024"/>
      <c r="I54" s="1024"/>
      <c r="J54" s="1024"/>
    </row>
    <row r="55" spans="2:11" x14ac:dyDescent="0.2">
      <c r="B55" s="744" t="s">
        <v>550</v>
      </c>
      <c r="C55" s="69"/>
      <c r="E55" s="745"/>
      <c r="G55" s="743"/>
      <c r="H55" s="742"/>
      <c r="I55" s="742"/>
      <c r="J55" s="742"/>
      <c r="K55" s="742"/>
    </row>
    <row r="56" spans="2:11" x14ac:dyDescent="0.2">
      <c r="B56" s="748" t="s">
        <v>546</v>
      </c>
      <c r="C56" s="69"/>
      <c r="E56" s="735">
        <f>IF(E51&gt;0,E51,'G &amp; S Initial'!C32*(1-Values!E14)/Values!E43)</f>
        <v>30000</v>
      </c>
      <c r="G56" s="683" t="s">
        <v>367</v>
      </c>
      <c r="H56" s="742"/>
      <c r="I56" s="1186"/>
      <c r="J56" s="742"/>
      <c r="K56" s="742"/>
    </row>
    <row r="57" spans="2:11" x14ac:dyDescent="0.2">
      <c r="B57" s="748" t="s">
        <v>970</v>
      </c>
      <c r="C57" s="69"/>
      <c r="E57" s="735">
        <f>E56*E44*E43</f>
        <v>57000</v>
      </c>
      <c r="G57" s="683"/>
      <c r="H57" s="742"/>
      <c r="I57" s="742"/>
      <c r="J57" s="742"/>
      <c r="K57" s="742"/>
    </row>
    <row r="58" spans="2:11" x14ac:dyDescent="0.2">
      <c r="B58" s="49" t="s">
        <v>545</v>
      </c>
      <c r="C58" s="69"/>
      <c r="E58" s="747">
        <f>IF(E53=0,0,E53/E51)</f>
        <v>0</v>
      </c>
      <c r="G58" s="1283" t="s">
        <v>367</v>
      </c>
      <c r="H58" s="1283"/>
      <c r="I58" s="1283"/>
      <c r="J58" s="1283"/>
      <c r="K58" s="962"/>
    </row>
    <row r="59" spans="2:11" x14ac:dyDescent="0.2">
      <c r="B59" s="740"/>
      <c r="C59" s="69"/>
      <c r="G59" s="683"/>
      <c r="H59" s="742"/>
      <c r="I59" s="742"/>
      <c r="J59" s="742"/>
      <c r="K59" s="742"/>
    </row>
    <row r="60" spans="2:11" ht="18" x14ac:dyDescent="0.25">
      <c r="B60" s="571" t="s">
        <v>372</v>
      </c>
      <c r="C60" s="69"/>
    </row>
    <row r="61" spans="2:11" x14ac:dyDescent="0.2">
      <c r="B61" s="163"/>
      <c r="C61" s="69"/>
    </row>
    <row r="62" spans="2:11" ht="15.75" x14ac:dyDescent="0.25">
      <c r="B62" s="549" t="s">
        <v>270</v>
      </c>
      <c r="G62" s="965" t="s">
        <v>855</v>
      </c>
    </row>
    <row r="63" spans="2:11" x14ac:dyDescent="0.2">
      <c r="B63" s="550" t="s">
        <v>268</v>
      </c>
      <c r="E63" s="551" t="s">
        <v>272</v>
      </c>
    </row>
    <row r="64" spans="2:11" x14ac:dyDescent="0.2">
      <c r="B64" s="550" t="s">
        <v>271</v>
      </c>
      <c r="E64" s="551"/>
    </row>
    <row r="65" spans="2:4" x14ac:dyDescent="0.2">
      <c r="B65" s="550"/>
    </row>
    <row r="66" spans="2:4" x14ac:dyDescent="0.2">
      <c r="B66" s="163" t="s">
        <v>360</v>
      </c>
      <c r="C66" s="550"/>
    </row>
    <row r="67" spans="2:4" x14ac:dyDescent="0.2">
      <c r="B67" s="163"/>
      <c r="C67" s="550"/>
    </row>
    <row r="68" spans="2:4" ht="18" x14ac:dyDescent="0.25">
      <c r="B68" s="571" t="s">
        <v>297</v>
      </c>
      <c r="C68" s="69"/>
    </row>
    <row r="69" spans="2:4" x14ac:dyDescent="0.2">
      <c r="B69" s="47"/>
      <c r="C69" s="69"/>
    </row>
    <row r="70" spans="2:4" ht="15.75" x14ac:dyDescent="0.25">
      <c r="B70" s="48" t="s">
        <v>258</v>
      </c>
      <c r="C70" s="965" t="s">
        <v>855</v>
      </c>
    </row>
    <row r="71" spans="2:4" ht="15.75" x14ac:dyDescent="0.25">
      <c r="B71" s="48"/>
    </row>
    <row r="72" spans="2:4" x14ac:dyDescent="0.2">
      <c r="B72" s="101" t="s">
        <v>98</v>
      </c>
      <c r="D72" s="100"/>
    </row>
    <row r="73" spans="2:4" x14ac:dyDescent="0.2">
      <c r="B73" s="101" t="s">
        <v>315</v>
      </c>
      <c r="D73" s="100"/>
    </row>
    <row r="74" spans="2:4" x14ac:dyDescent="0.2">
      <c r="B74" s="100" t="s">
        <v>314</v>
      </c>
      <c r="D74" s="100"/>
    </row>
    <row r="75" spans="2:4" ht="15.75" x14ac:dyDescent="0.25">
      <c r="B75" s="48"/>
    </row>
    <row r="76" spans="2:4" x14ac:dyDescent="0.2">
      <c r="B76" s="49" t="s">
        <v>259</v>
      </c>
    </row>
    <row r="77" spans="2:4" x14ac:dyDescent="0.2">
      <c r="B77" s="49" t="s">
        <v>260</v>
      </c>
    </row>
    <row r="78" spans="2:4" x14ac:dyDescent="0.2">
      <c r="B78" s="49" t="s">
        <v>853</v>
      </c>
    </row>
    <row r="79" spans="2:4" x14ac:dyDescent="0.2">
      <c r="B79" s="49" t="s">
        <v>261</v>
      </c>
    </row>
    <row r="80" spans="2:4" x14ac:dyDescent="0.2">
      <c r="B80" s="49"/>
    </row>
    <row r="81" spans="2:12" x14ac:dyDescent="0.2">
      <c r="B81" s="49" t="s">
        <v>330</v>
      </c>
      <c r="F81" s="226"/>
      <c r="G81" s="226"/>
    </row>
    <row r="82" spans="2:12" x14ac:dyDescent="0.2">
      <c r="B82" s="49" t="s">
        <v>854</v>
      </c>
      <c r="F82" s="226"/>
      <c r="G82" s="226"/>
    </row>
    <row r="83" spans="2:12" x14ac:dyDescent="0.2">
      <c r="B83" s="49"/>
      <c r="F83" s="226"/>
      <c r="G83" s="226"/>
    </row>
    <row r="84" spans="2:12" x14ac:dyDescent="0.2">
      <c r="B84" s="49"/>
      <c r="C84" s="103" t="s">
        <v>193</v>
      </c>
      <c r="D84" s="1287" t="s">
        <v>192</v>
      </c>
      <c r="E84" s="1275"/>
      <c r="F84" s="1275"/>
      <c r="G84" s="1275"/>
      <c r="H84" s="1275"/>
      <c r="I84" s="1275"/>
      <c r="J84" s="1275"/>
      <c r="L84" s="50"/>
    </row>
    <row r="85" spans="2:12" ht="30" x14ac:dyDescent="0.2">
      <c r="B85" s="49"/>
      <c r="C85" s="227" t="s">
        <v>262</v>
      </c>
      <c r="D85" s="1284" t="s">
        <v>884</v>
      </c>
      <c r="E85" s="1285"/>
      <c r="F85" s="1285"/>
      <c r="G85" s="1285"/>
      <c r="H85" s="1285"/>
      <c r="I85" s="1285"/>
      <c r="J85" s="1285"/>
      <c r="L85" s="50"/>
    </row>
    <row r="86" spans="2:12" ht="75" x14ac:dyDescent="0.2">
      <c r="B86" s="51" t="s">
        <v>73</v>
      </c>
      <c r="C86" s="969" t="s">
        <v>191</v>
      </c>
      <c r="D86" s="969" t="s">
        <v>856</v>
      </c>
      <c r="E86" s="970" t="s">
        <v>190</v>
      </c>
      <c r="F86" s="970" t="s">
        <v>264</v>
      </c>
      <c r="G86" s="970" t="s">
        <v>263</v>
      </c>
      <c r="H86" s="970" t="s">
        <v>76</v>
      </c>
      <c r="I86" s="970" t="s">
        <v>714</v>
      </c>
      <c r="J86" s="971" t="s">
        <v>96</v>
      </c>
    </row>
    <row r="87" spans="2:12" ht="15.75" x14ac:dyDescent="0.25">
      <c r="B87" s="96" t="s">
        <v>16</v>
      </c>
      <c r="C87" s="42"/>
      <c r="D87" s="96"/>
      <c r="E87" s="43"/>
      <c r="F87" s="43"/>
      <c r="G87" s="43"/>
      <c r="H87" s="43"/>
      <c r="I87" s="42"/>
      <c r="J87" s="42"/>
    </row>
    <row r="88" spans="2:12" ht="30" x14ac:dyDescent="0.2">
      <c r="B88" s="175" t="str">
        <f>'G &amp; S Projections'!B20</f>
        <v>Deer sales via stalker</v>
      </c>
      <c r="C88" s="74" t="s">
        <v>62</v>
      </c>
      <c r="D88" s="94"/>
      <c r="E88" s="620"/>
      <c r="F88" s="207">
        <f>'G &amp; S Projections'!E20</f>
        <v>12</v>
      </c>
      <c r="G88" s="207" t="str">
        <f>'G &amp; S Initial'!D17</f>
        <v xml:space="preserve">No. of deer shot a year </v>
      </c>
      <c r="H88" s="1002">
        <f>IF(F88=0,0,E88/F88)</f>
        <v>0</v>
      </c>
      <c r="I88" s="72"/>
      <c r="J88" s="97"/>
    </row>
    <row r="89" spans="2:12" ht="75" x14ac:dyDescent="0.2">
      <c r="B89" s="175" t="s">
        <v>504</v>
      </c>
      <c r="C89" s="74" t="s">
        <v>62</v>
      </c>
      <c r="D89" s="95"/>
      <c r="E89" s="620">
        <f>F89*H89</f>
        <v>220</v>
      </c>
      <c r="F89" s="209">
        <f>'G &amp; S Projections'!E21</f>
        <v>44</v>
      </c>
      <c r="G89" s="207" t="str">
        <f>'G &amp; S Initial'!D18</f>
        <v>No. of bags sold wholesale (approx. 0.05m³) (Apr 2016 -17)</v>
      </c>
      <c r="H89" s="208">
        <v>5</v>
      </c>
      <c r="I89" s="75"/>
      <c r="J89" s="97" t="s">
        <v>107</v>
      </c>
    </row>
    <row r="90" spans="2:12" ht="75" x14ac:dyDescent="0.2">
      <c r="B90" s="175" t="s">
        <v>502</v>
      </c>
      <c r="C90" s="74" t="s">
        <v>62</v>
      </c>
      <c r="D90" s="95"/>
      <c r="E90" s="620">
        <f t="shared" ref="E90:E95" si="0">F90*H90</f>
        <v>430.5</v>
      </c>
      <c r="F90" s="209">
        <v>123</v>
      </c>
      <c r="G90" s="207" t="str">
        <f>'G &amp; S Initial'!D19</f>
        <v>No. of bags sold retail (approx 0.05m³) (Apr 2016-17)</v>
      </c>
      <c r="H90" s="730">
        <v>3.5</v>
      </c>
      <c r="I90" s="75"/>
      <c r="J90" s="97" t="s">
        <v>107</v>
      </c>
    </row>
    <row r="91" spans="2:12" ht="90" x14ac:dyDescent="0.2">
      <c r="B91" s="175" t="s">
        <v>503</v>
      </c>
      <c r="C91" s="74" t="s">
        <v>62</v>
      </c>
      <c r="D91" s="95"/>
      <c r="E91" s="620">
        <f t="shared" si="0"/>
        <v>157.5</v>
      </c>
      <c r="F91" s="209">
        <v>42</v>
      </c>
      <c r="G91" s="207" t="str">
        <f>'G &amp; S Initial'!D20</f>
        <v>No. of bags sold retail (approx 0.05m³)  (other stores Apr 2016 -17)</v>
      </c>
      <c r="H91" s="730">
        <v>3.75</v>
      </c>
      <c r="I91" s="75"/>
      <c r="J91" s="97" t="s">
        <v>107</v>
      </c>
    </row>
    <row r="92" spans="2:12" ht="60" x14ac:dyDescent="0.2">
      <c r="B92" s="175" t="s">
        <v>505</v>
      </c>
      <c r="C92" s="74" t="s">
        <v>62</v>
      </c>
      <c r="D92" s="95"/>
      <c r="E92" s="620">
        <f t="shared" si="0"/>
        <v>400</v>
      </c>
      <c r="F92" s="209">
        <v>4</v>
      </c>
      <c r="G92" s="207" t="str">
        <f>'G &amp; S Initial'!D21</f>
        <v>No. of loose loads sold (approx. 1.2m³)  (Apr 2016 -17)</v>
      </c>
      <c r="H92" s="208">
        <v>100</v>
      </c>
      <c r="I92" s="75"/>
      <c r="J92" s="97" t="s">
        <v>107</v>
      </c>
    </row>
    <row r="93" spans="2:12" ht="60" x14ac:dyDescent="0.2">
      <c r="B93" s="175" t="s">
        <v>506</v>
      </c>
      <c r="C93" s="74" t="s">
        <v>62</v>
      </c>
      <c r="D93" s="95"/>
      <c r="E93" s="620">
        <f t="shared" si="0"/>
        <v>50</v>
      </c>
      <c r="F93" s="209">
        <v>1</v>
      </c>
      <c r="G93" s="207" t="str">
        <f>'G &amp; S Initial'!D22</f>
        <v>No. of loose loads (approx 0.6m³)  (Apr 2016 -17)</v>
      </c>
      <c r="H93" s="208">
        <v>50</v>
      </c>
      <c r="I93" s="75"/>
      <c r="J93" s="97" t="s">
        <v>107</v>
      </c>
    </row>
    <row r="94" spans="2:12" ht="60" x14ac:dyDescent="0.2">
      <c r="B94" s="521" t="s">
        <v>507</v>
      </c>
      <c r="C94" s="597" t="s">
        <v>62</v>
      </c>
      <c r="D94" s="522"/>
      <c r="E94" s="620">
        <f t="shared" si="0"/>
        <v>80</v>
      </c>
      <c r="F94" s="209">
        <v>2</v>
      </c>
      <c r="G94" s="207" t="str">
        <f>'G &amp; S Initial'!D23</f>
        <v>No. of loose loads (approx 0.4m³)  (Apr 2016 -17)</v>
      </c>
      <c r="H94" s="208">
        <v>40</v>
      </c>
      <c r="I94" s="75"/>
      <c r="J94" s="97" t="s">
        <v>107</v>
      </c>
    </row>
    <row r="95" spans="2:12" ht="60" x14ac:dyDescent="0.2">
      <c r="B95" s="521" t="s">
        <v>508</v>
      </c>
      <c r="C95" s="597" t="s">
        <v>62</v>
      </c>
      <c r="D95" s="522"/>
      <c r="E95" s="620">
        <f t="shared" si="0"/>
        <v>25</v>
      </c>
      <c r="F95" s="209">
        <v>1</v>
      </c>
      <c r="G95" s="207" t="str">
        <f>'G &amp; S Initial'!D24</f>
        <v xml:space="preserve">No. of loose loads (approx 0.3m³) (Apr 2016 -17) </v>
      </c>
      <c r="H95" s="208">
        <v>25</v>
      </c>
      <c r="I95" s="75"/>
      <c r="J95" s="97" t="s">
        <v>107</v>
      </c>
    </row>
    <row r="96" spans="2:12" x14ac:dyDescent="0.2">
      <c r="B96" s="176" t="s">
        <v>51</v>
      </c>
      <c r="C96" s="76"/>
      <c r="D96" s="98"/>
      <c r="E96" s="77"/>
      <c r="F96" s="210"/>
      <c r="G96" s="210"/>
      <c r="H96" s="211"/>
      <c r="I96" s="76"/>
      <c r="J96" s="76"/>
    </row>
    <row r="97" spans="2:11" ht="30" x14ac:dyDescent="0.2">
      <c r="B97" s="175" t="str">
        <f>'G &amp; S Projections'!B29</f>
        <v>Net carbon flux.</v>
      </c>
      <c r="C97" s="603" t="s">
        <v>61</v>
      </c>
      <c r="D97" s="604"/>
      <c r="E97" s="619">
        <v>0</v>
      </c>
      <c r="F97" s="888">
        <f>'G &amp; S Projections'!E29</f>
        <v>-704.13800000000003</v>
      </c>
      <c r="G97" s="207" t="str">
        <f>'G &amp; S Initial'!D26</f>
        <v>tonnes of CO2 equivalent / yr</v>
      </c>
      <c r="H97" s="209">
        <f>IF(F97=0,0,E97/F97)</f>
        <v>0</v>
      </c>
      <c r="I97" s="605"/>
      <c r="J97" s="606" t="s">
        <v>110</v>
      </c>
    </row>
    <row r="98" spans="2:11" x14ac:dyDescent="0.2">
      <c r="B98" s="175">
        <f>'G &amp; S Projections'!B30</f>
        <v>0</v>
      </c>
      <c r="C98" s="74"/>
      <c r="D98" s="95"/>
      <c r="E98" s="994">
        <f t="shared" ref="E98:E101" si="1">H98*F98</f>
        <v>0</v>
      </c>
      <c r="F98" s="995">
        <f>'G &amp; S Projections'!E30</f>
        <v>0</v>
      </c>
      <c r="G98" s="996">
        <f>'G &amp; S Initial'!D27</f>
        <v>0</v>
      </c>
      <c r="H98" s="995">
        <f>IF(F98=0,0,E98/F98)</f>
        <v>0</v>
      </c>
      <c r="I98" s="75"/>
      <c r="J98" s="97"/>
    </row>
    <row r="99" spans="2:11" x14ac:dyDescent="0.2">
      <c r="B99" s="175">
        <f>'G &amp; S Projections'!B31</f>
        <v>0</v>
      </c>
      <c r="C99" s="74"/>
      <c r="D99" s="95"/>
      <c r="E99" s="994">
        <f t="shared" si="1"/>
        <v>0</v>
      </c>
      <c r="F99" s="995">
        <f>'G &amp; S Projections'!E31</f>
        <v>0</v>
      </c>
      <c r="G99" s="996">
        <f>'G &amp; S Initial'!D28</f>
        <v>0</v>
      </c>
      <c r="H99" s="995">
        <f>IF(F99=0,0,E99/F99)</f>
        <v>0</v>
      </c>
      <c r="I99" s="75"/>
      <c r="J99" s="97"/>
    </row>
    <row r="100" spans="2:11" x14ac:dyDescent="0.2">
      <c r="B100" s="175">
        <f>'G &amp; S Projections'!B32</f>
        <v>0</v>
      </c>
      <c r="C100" s="74"/>
      <c r="D100" s="95"/>
      <c r="E100" s="994">
        <f t="shared" si="1"/>
        <v>0</v>
      </c>
      <c r="F100" s="995">
        <f>'G &amp; S Projections'!E32</f>
        <v>0</v>
      </c>
      <c r="G100" s="996">
        <f>'G &amp; S Initial'!D29</f>
        <v>0</v>
      </c>
      <c r="H100" s="995">
        <f>IF(F100=0,0,E100/F100)</f>
        <v>0</v>
      </c>
      <c r="I100" s="75"/>
      <c r="J100" s="97"/>
    </row>
    <row r="101" spans="2:11" x14ac:dyDescent="0.2">
      <c r="B101" s="175">
        <f>'G &amp; S Projections'!B33</f>
        <v>0</v>
      </c>
      <c r="C101" s="74"/>
      <c r="D101" s="95"/>
      <c r="E101" s="994">
        <f t="shared" si="1"/>
        <v>0</v>
      </c>
      <c r="F101" s="995">
        <f>'G &amp; S Projections'!E33</f>
        <v>0</v>
      </c>
      <c r="G101" s="996">
        <f>'G &amp; S Initial'!D30</f>
        <v>0</v>
      </c>
      <c r="H101" s="995">
        <f>IF(F101=0,0,E101/F101)</f>
        <v>0</v>
      </c>
      <c r="I101" s="75"/>
      <c r="J101" s="97"/>
    </row>
    <row r="102" spans="2:11" x14ac:dyDescent="0.2">
      <c r="B102" s="177" t="s">
        <v>17</v>
      </c>
      <c r="C102" s="79"/>
      <c r="D102" s="78"/>
      <c r="E102" s="80"/>
      <c r="F102" s="212"/>
      <c r="G102" s="212"/>
      <c r="H102" s="213"/>
      <c r="I102" s="79"/>
      <c r="J102" s="79"/>
    </row>
    <row r="103" spans="2:11" ht="28.5" x14ac:dyDescent="0.2">
      <c r="B103" s="175" t="str">
        <f>'G &amp; S Projections'!B35</f>
        <v>Recreational visits.</v>
      </c>
      <c r="C103" s="603" t="s">
        <v>61</v>
      </c>
      <c r="D103" s="604"/>
      <c r="E103" s="997">
        <v>0</v>
      </c>
      <c r="F103" s="995">
        <f>'G &amp; S Projections'!E35</f>
        <v>80000</v>
      </c>
      <c r="G103" s="998" t="str">
        <f>'G &amp; S Initial'!D32</f>
        <v>No. visits / yr</v>
      </c>
      <c r="H103" s="995">
        <f t="shared" ref="H103:H113" si="2">IF(F103=0,0,E103/F103)</f>
        <v>0</v>
      </c>
      <c r="I103" s="605"/>
      <c r="J103" s="606" t="s">
        <v>110</v>
      </c>
    </row>
    <row r="104" spans="2:11" ht="45" x14ac:dyDescent="0.2">
      <c r="B104" s="523" t="str">
        <f>'G &amp; S Projections'!B36</f>
        <v xml:space="preserve">Educational visits by school pupils that have educational input from NNR staff or volunteers. </v>
      </c>
      <c r="C104" s="607" t="s">
        <v>62</v>
      </c>
      <c r="D104" s="697"/>
      <c r="E104" s="999">
        <v>1286.6300000000001</v>
      </c>
      <c r="F104" s="1000">
        <f>'G &amp; S Projections'!E36</f>
        <v>726</v>
      </c>
      <c r="G104" s="1001" t="str">
        <f>'G &amp; S Initial'!D33</f>
        <v>No. visits / yr</v>
      </c>
      <c r="H104" s="1029">
        <f>IF(F104=0,0,E104/F104)</f>
        <v>1.7722176308539945</v>
      </c>
      <c r="I104" s="609"/>
      <c r="J104" s="238" t="s">
        <v>107</v>
      </c>
    </row>
    <row r="105" spans="2:11" ht="45" x14ac:dyDescent="0.2">
      <c r="B105" s="525" t="str">
        <f>'G &amp; S Projections'!B37</f>
        <v>Educational visits by school pupils with no educational input from NNR staff or NNR volunteers.</v>
      </c>
      <c r="C105" s="611"/>
      <c r="D105" s="612"/>
      <c r="E105" s="1003">
        <v>0</v>
      </c>
      <c r="F105" s="1004">
        <f>'G &amp; S Projections'!E37</f>
        <v>0</v>
      </c>
      <c r="G105" s="1005" t="str">
        <f>'G &amp; S Initial'!D34</f>
        <v>No. visits / yr</v>
      </c>
      <c r="H105" s="1004">
        <f t="shared" si="2"/>
        <v>0</v>
      </c>
      <c r="I105" s="613"/>
      <c r="J105" s="614" t="s">
        <v>110</v>
      </c>
    </row>
    <row r="106" spans="2:11" ht="60" x14ac:dyDescent="0.2">
      <c r="B106" s="523" t="str">
        <f>'G &amp; S Projections'!B38</f>
        <v>Educational visits by students (in education beyond secondary / high school) that have educational input from NNR staff or volunteers.</v>
      </c>
      <c r="C106" s="607"/>
      <c r="D106" s="608"/>
      <c r="E106" s="1006">
        <v>0</v>
      </c>
      <c r="F106" s="1000">
        <f>'G &amp; S Projections'!E38</f>
        <v>0</v>
      </c>
      <c r="G106" s="1001" t="str">
        <f>'G &amp; S Initial'!D35</f>
        <v>No. visits / yr</v>
      </c>
      <c r="H106" s="1000">
        <f t="shared" si="2"/>
        <v>0</v>
      </c>
      <c r="I106" s="609"/>
      <c r="J106" s="610" t="s">
        <v>110</v>
      </c>
    </row>
    <row r="107" spans="2:11" ht="60" x14ac:dyDescent="0.2">
      <c r="B107" s="525" t="str">
        <f>'G &amp; S Projections'!B39</f>
        <v>Educational visits by students (beyond secondary / high school) with no educational input from NNR staff or NNR volunteers.</v>
      </c>
      <c r="C107" s="611"/>
      <c r="D107" s="612"/>
      <c r="E107" s="1003">
        <v>0</v>
      </c>
      <c r="F107" s="1004">
        <f>'G &amp; S Projections'!E39</f>
        <v>0</v>
      </c>
      <c r="G107" s="1005" t="str">
        <f>'G &amp; S Initial'!D36</f>
        <v>No. visits / yr</v>
      </c>
      <c r="H107" s="1004">
        <f t="shared" si="2"/>
        <v>0</v>
      </c>
      <c r="I107" s="613"/>
      <c r="J107" s="614" t="s">
        <v>110</v>
      </c>
    </row>
    <row r="108" spans="2:11" ht="75" x14ac:dyDescent="0.2">
      <c r="B108" s="523" t="str">
        <f>'G &amp; S Projections'!B40</f>
        <v>Educational visits by the public (e.g. guided walks for the public, scouts, local interest groups) that have educational input by NNR staff or volunteers.</v>
      </c>
      <c r="C108" s="607" t="s">
        <v>61</v>
      </c>
      <c r="D108" s="608"/>
      <c r="E108" s="1006">
        <v>0</v>
      </c>
      <c r="F108" s="1000">
        <f>'G &amp; S Projections'!E40</f>
        <v>1300</v>
      </c>
      <c r="G108" s="1001" t="str">
        <f>'G &amp; S Initial'!D37</f>
        <v>No. visits / yr</v>
      </c>
      <c r="H108" s="1000">
        <f t="shared" si="2"/>
        <v>0</v>
      </c>
      <c r="I108" s="609"/>
      <c r="J108" s="610" t="s">
        <v>110</v>
      </c>
    </row>
    <row r="109" spans="2:11" ht="60" x14ac:dyDescent="0.2">
      <c r="B109" s="525" t="str">
        <f>'G &amp; S Projections'!B41</f>
        <v>Educational visits by groups of the public that have no educational input by NNR staff or NNR volunteers.</v>
      </c>
      <c r="C109" s="611"/>
      <c r="D109" s="612"/>
      <c r="E109" s="1003">
        <v>0</v>
      </c>
      <c r="F109" s="1004">
        <f>'G &amp; S Projections'!E41</f>
        <v>0</v>
      </c>
      <c r="G109" s="1005" t="str">
        <f>'G &amp; S Initial'!D38</f>
        <v>No. visits / yr</v>
      </c>
      <c r="H109" s="1004">
        <f t="shared" si="2"/>
        <v>0</v>
      </c>
      <c r="I109" s="613"/>
      <c r="J109" s="614" t="s">
        <v>110</v>
      </c>
    </row>
    <row r="110" spans="2:11" ht="45" x14ac:dyDescent="0.2">
      <c r="B110" s="175" t="str">
        <f>'G &amp; S Projections'!B42</f>
        <v>Participants in community events (that have little or no educational content).</v>
      </c>
      <c r="C110" s="603" t="s">
        <v>61</v>
      </c>
      <c r="D110" s="604"/>
      <c r="E110" s="997">
        <v>0</v>
      </c>
      <c r="F110" s="995">
        <f>'G &amp; S Projections'!E42</f>
        <v>0</v>
      </c>
      <c r="G110" s="998" t="str">
        <f>'G &amp; S Initial'!D39</f>
        <v>No. people / yr</v>
      </c>
      <c r="H110" s="995">
        <f t="shared" si="2"/>
        <v>0</v>
      </c>
      <c r="I110" s="605"/>
      <c r="J110" s="606" t="s">
        <v>110</v>
      </c>
    </row>
    <row r="111" spans="2:11" ht="60" x14ac:dyDescent="0.2">
      <c r="B111" s="530" t="str">
        <f>'G &amp; S Projections'!B43</f>
        <v>People (excluding staff) given training in working on an NNR (including training given as part of work experience).</v>
      </c>
      <c r="C111" s="615" t="s">
        <v>61</v>
      </c>
      <c r="D111" s="616"/>
      <c r="E111" s="1007">
        <v>0</v>
      </c>
      <c r="F111" s="1008">
        <f>'G &amp; S Projections'!E43</f>
        <v>63</v>
      </c>
      <c r="G111" s="1009" t="str">
        <f>'G &amp; S Initial'!D40</f>
        <v>No. people / yr</v>
      </c>
      <c r="H111" s="1008">
        <f t="shared" si="2"/>
        <v>0</v>
      </c>
      <c r="I111" s="617"/>
      <c r="J111" s="618" t="s">
        <v>110</v>
      </c>
      <c r="K111" s="606"/>
    </row>
    <row r="112" spans="2:11" ht="105" x14ac:dyDescent="0.2">
      <c r="B112" s="530" t="str">
        <f>'G &amp; S Projections'!B44</f>
        <v>Research projects. Includes research conducted by others (students, researchers, citizens, colleagues, long term monitoring network) and other research that NNR staff and volunteers contribute towards.</v>
      </c>
      <c r="C112" s="615" t="s">
        <v>61</v>
      </c>
      <c r="D112" s="616"/>
      <c r="E112" s="1007">
        <v>0</v>
      </c>
      <c r="F112" s="1008">
        <f>'G &amp; S Projections'!E44</f>
        <v>3</v>
      </c>
      <c r="G112" s="1009" t="str">
        <f>'G &amp; S Initial'!D41</f>
        <v>No. projects</v>
      </c>
      <c r="H112" s="1008">
        <f t="shared" si="2"/>
        <v>0</v>
      </c>
      <c r="I112" s="617"/>
      <c r="J112" s="618" t="s">
        <v>110</v>
      </c>
      <c r="K112" s="606"/>
    </row>
    <row r="113" spans="2:12" ht="45" x14ac:dyDescent="0.2">
      <c r="B113" s="530" t="str">
        <f>'G &amp; S Projections'!B45</f>
        <v>Engagement with people through social media (as measured through Facebook and Blog statistics etc).</v>
      </c>
      <c r="C113" s="615" t="s">
        <v>61</v>
      </c>
      <c r="D113" s="616"/>
      <c r="E113" s="1007">
        <v>0</v>
      </c>
      <c r="F113" s="1004">
        <f>'G &amp; S Initial'!C42</f>
        <v>0</v>
      </c>
      <c r="G113" s="1009" t="str">
        <f>'G &amp; S Initial'!D42</f>
        <v>No. engagements / yr</v>
      </c>
      <c r="H113" s="1008">
        <f t="shared" si="2"/>
        <v>0</v>
      </c>
      <c r="I113" s="617"/>
      <c r="J113" s="618" t="s">
        <v>110</v>
      </c>
      <c r="K113" s="606"/>
    </row>
    <row r="114" spans="2:12" ht="45" x14ac:dyDescent="0.2">
      <c r="B114" s="521" t="str">
        <f>'G &amp; S Projections'!B46</f>
        <v xml:space="preserve">Field Studies Council Guide on Shapwick Heath sold via us here at Shapwick. </v>
      </c>
      <c r="C114" s="596" t="s">
        <v>62</v>
      </c>
      <c r="D114" s="522"/>
      <c r="E114" s="731"/>
      <c r="F114" s="209">
        <v>54</v>
      </c>
      <c r="G114" s="531" t="str">
        <f>'G &amp; S Initial'!D43</f>
        <v>Number of guides sold whole sale</v>
      </c>
      <c r="H114" s="1040">
        <f>IF(F114=0,0,E114/F114)</f>
        <v>0</v>
      </c>
      <c r="I114" s="75"/>
      <c r="J114" s="97" t="s">
        <v>107</v>
      </c>
      <c r="K114" s="606"/>
    </row>
    <row r="115" spans="2:12" ht="60" x14ac:dyDescent="0.2">
      <c r="B115" s="521" t="str">
        <f>'G &amp; S Projections'!B47</f>
        <v xml:space="preserve">Field Studies Council Guide on Shapwick Heath sold via us here at Shapwick or Tourist Information Centre and shops. </v>
      </c>
      <c r="C115" s="597" t="s">
        <v>62</v>
      </c>
      <c r="D115" s="522"/>
      <c r="E115" s="731"/>
      <c r="F115" s="209">
        <v>80</v>
      </c>
      <c r="G115" s="531" t="str">
        <f>'G &amp; S Initial'!D44</f>
        <v>Number of guides sold retail</v>
      </c>
      <c r="H115" s="1041">
        <f>IF(F115=0,0,E115/F115)</f>
        <v>0</v>
      </c>
      <c r="I115" s="75"/>
      <c r="J115" s="97" t="s">
        <v>107</v>
      </c>
      <c r="K115" s="606"/>
    </row>
    <row r="116" spans="2:12" ht="90" x14ac:dyDescent="0.2">
      <c r="B116" s="521" t="str">
        <f>'G &amp; S Projections'!B48</f>
        <v>Benefits to people who volunteer regularly (at least once a month).</v>
      </c>
      <c r="C116" s="597" t="s">
        <v>61</v>
      </c>
      <c r="D116" s="522"/>
      <c r="E116" s="994"/>
      <c r="F116" s="995"/>
      <c r="G116" s="998" t="str">
        <f>'G &amp; S Initial'!D45</f>
        <v>No. people / yr</v>
      </c>
      <c r="H116" s="1010"/>
      <c r="I116" s="75" t="s">
        <v>994</v>
      </c>
      <c r="J116" s="97"/>
      <c r="K116" s="606"/>
    </row>
    <row r="117" spans="2:12" x14ac:dyDescent="0.2">
      <c r="B117" s="521">
        <f>'G &amp; S Projections'!B49</f>
        <v>0</v>
      </c>
      <c r="C117" s="597"/>
      <c r="D117" s="522"/>
      <c r="E117" s="994"/>
      <c r="F117" s="995"/>
      <c r="G117" s="998">
        <f>'G &amp; S Initial'!D46</f>
        <v>0</v>
      </c>
      <c r="H117" s="1010"/>
      <c r="I117" s="75"/>
      <c r="J117" s="97"/>
      <c r="K117" s="606"/>
    </row>
    <row r="118" spans="2:12" x14ac:dyDescent="0.2">
      <c r="B118" s="521">
        <f>'G &amp; S Projections'!B50</f>
        <v>0</v>
      </c>
      <c r="C118" s="597"/>
      <c r="D118" s="522"/>
      <c r="E118" s="994"/>
      <c r="F118" s="995"/>
      <c r="G118" s="998">
        <f>'G &amp; S Initial'!D47</f>
        <v>0</v>
      </c>
      <c r="H118" s="1010"/>
      <c r="I118" s="75"/>
      <c r="J118" s="97"/>
      <c r="K118" s="606"/>
    </row>
    <row r="119" spans="2:12" x14ac:dyDescent="0.2">
      <c r="B119" s="521">
        <f>'G &amp; S Projections'!B51</f>
        <v>0</v>
      </c>
      <c r="C119" s="597"/>
      <c r="D119" s="522"/>
      <c r="E119" s="994"/>
      <c r="F119" s="995"/>
      <c r="G119" s="998">
        <f>'G &amp; S Initial'!D48</f>
        <v>0</v>
      </c>
      <c r="H119" s="1010"/>
      <c r="I119" s="75"/>
      <c r="J119" s="97"/>
      <c r="K119" s="606"/>
    </row>
    <row r="120" spans="2:12" x14ac:dyDescent="0.2">
      <c r="B120" s="787"/>
      <c r="C120" s="787"/>
      <c r="D120" s="787"/>
      <c r="E120" s="787"/>
      <c r="F120" s="787"/>
      <c r="G120" s="787"/>
      <c r="H120" s="787"/>
      <c r="I120" s="787"/>
      <c r="J120" s="787"/>
      <c r="K120" s="787"/>
      <c r="L120" s="788"/>
    </row>
    <row r="121" spans="2:12" ht="18" x14ac:dyDescent="0.25">
      <c r="B121" s="571" t="s">
        <v>635</v>
      </c>
      <c r="C121" s="787"/>
      <c r="D121" s="787"/>
      <c r="E121" s="787"/>
      <c r="F121" s="787"/>
      <c r="G121" s="787"/>
      <c r="H121" s="787"/>
      <c r="I121" s="787"/>
      <c r="J121" s="787"/>
      <c r="K121" s="787"/>
      <c r="L121" s="788"/>
    </row>
    <row r="122" spans="2:12" x14ac:dyDescent="0.2">
      <c r="B122" s="787"/>
      <c r="C122" s="787"/>
      <c r="D122" s="787"/>
      <c r="E122" s="787"/>
      <c r="F122" s="787"/>
      <c r="G122" s="787"/>
      <c r="H122" s="787"/>
      <c r="I122" s="787"/>
      <c r="J122" s="787"/>
      <c r="K122" s="787"/>
      <c r="L122" s="788"/>
    </row>
    <row r="123" spans="2:12" ht="15.75" customHeight="1" x14ac:dyDescent="0.2">
      <c r="B123" s="797" t="s">
        <v>629</v>
      </c>
      <c r="C123" s="787"/>
      <c r="D123" s="787"/>
      <c r="E123" s="787"/>
      <c r="F123" s="787"/>
      <c r="G123" s="787"/>
      <c r="H123" s="787"/>
      <c r="I123" s="787"/>
      <c r="J123" s="787"/>
      <c r="K123" s="787"/>
      <c r="L123" s="788"/>
    </row>
    <row r="124" spans="2:12" ht="15.75" customHeight="1" x14ac:dyDescent="0.2">
      <c r="B124" s="789"/>
      <c r="C124" s="787"/>
      <c r="D124" s="787"/>
      <c r="E124" s="787"/>
      <c r="F124" s="787"/>
      <c r="G124" s="787"/>
      <c r="H124" s="787"/>
      <c r="I124" s="787"/>
      <c r="J124" s="787"/>
      <c r="K124" s="787"/>
      <c r="L124" s="788"/>
    </row>
    <row r="125" spans="2:12" ht="15.75" customHeight="1" x14ac:dyDescent="0.2">
      <c r="B125" s="101" t="s">
        <v>862</v>
      </c>
      <c r="C125" s="787"/>
      <c r="D125" s="787"/>
      <c r="E125" s="787"/>
      <c r="F125" s="787"/>
      <c r="G125" s="787"/>
      <c r="H125" s="787"/>
      <c r="I125" s="787"/>
      <c r="J125" s="787"/>
      <c r="K125" s="787"/>
      <c r="L125" s="788"/>
    </row>
    <row r="126" spans="2:12" ht="15.75" customHeight="1" x14ac:dyDescent="0.2">
      <c r="B126" s="789"/>
      <c r="C126" s="787"/>
      <c r="D126" s="787"/>
      <c r="E126" s="787"/>
      <c r="F126" s="787"/>
      <c r="G126" s="787"/>
      <c r="H126" s="787"/>
      <c r="I126" s="787"/>
      <c r="J126" s="787"/>
      <c r="K126" s="787"/>
      <c r="L126" s="788"/>
    </row>
    <row r="127" spans="2:12" s="99" customFormat="1" ht="63" x14ac:dyDescent="0.25">
      <c r="B127" s="793"/>
      <c r="C127" s="972" t="s">
        <v>1032</v>
      </c>
      <c r="D127" s="1065" t="s">
        <v>1033</v>
      </c>
      <c r="E127" s="1066" t="s">
        <v>623</v>
      </c>
      <c r="F127" s="1067" t="s">
        <v>659</v>
      </c>
      <c r="G127" s="1068"/>
      <c r="J127" s="789"/>
      <c r="K127" s="789"/>
      <c r="L127" s="1069"/>
    </row>
    <row r="128" spans="2:12" ht="15.75" customHeight="1" x14ac:dyDescent="0.2">
      <c r="B128" s="791" t="s">
        <v>632</v>
      </c>
      <c r="C128" s="795"/>
      <c r="D128" s="801"/>
      <c r="E128" s="792"/>
      <c r="F128" s="800"/>
      <c r="G128" s="790"/>
      <c r="J128" s="787"/>
      <c r="K128" s="787"/>
      <c r="L128" s="788"/>
    </row>
    <row r="129" spans="2:20" ht="15.75" customHeight="1" x14ac:dyDescent="0.2">
      <c r="B129" s="791" t="s">
        <v>633</v>
      </c>
      <c r="C129" s="795"/>
      <c r="D129" s="801"/>
      <c r="E129" s="792"/>
      <c r="F129" s="800"/>
      <c r="G129" s="790"/>
      <c r="J129" s="787"/>
      <c r="K129" s="787"/>
      <c r="L129" s="788"/>
    </row>
    <row r="130" spans="2:20" ht="15.75" customHeight="1" x14ac:dyDescent="0.2">
      <c r="B130" s="791" t="s">
        <v>634</v>
      </c>
      <c r="C130" s="795"/>
      <c r="D130" s="801"/>
      <c r="E130" s="792"/>
      <c r="F130" s="800"/>
      <c r="G130" s="790"/>
      <c r="J130" s="787"/>
      <c r="K130" s="787"/>
      <c r="L130" s="788"/>
    </row>
    <row r="131" spans="2:20" ht="15.75" customHeight="1" x14ac:dyDescent="0.2">
      <c r="B131" s="791" t="s">
        <v>630</v>
      </c>
      <c r="C131" s="795" t="s">
        <v>658</v>
      </c>
      <c r="D131" s="802">
        <v>1.2</v>
      </c>
      <c r="E131" s="792" t="s">
        <v>661</v>
      </c>
      <c r="F131" s="800" t="s">
        <v>660</v>
      </c>
      <c r="G131" s="790"/>
      <c r="J131" s="787"/>
      <c r="K131" s="787"/>
      <c r="L131" s="788"/>
    </row>
    <row r="132" spans="2:20" x14ac:dyDescent="0.2">
      <c r="B132" s="46" t="s">
        <v>631</v>
      </c>
      <c r="C132" s="796" t="s">
        <v>657</v>
      </c>
      <c r="D132" s="803">
        <v>1.3</v>
      </c>
      <c r="E132" s="792" t="s">
        <v>661</v>
      </c>
      <c r="F132" s="800" t="s">
        <v>662</v>
      </c>
      <c r="G132" s="790"/>
      <c r="J132" s="787"/>
      <c r="K132" s="787"/>
      <c r="L132" s="788"/>
    </row>
    <row r="133" spans="2:20" x14ac:dyDescent="0.2">
      <c r="B133" s="798" t="s">
        <v>636</v>
      </c>
      <c r="C133" s="796"/>
      <c r="D133" s="803"/>
      <c r="E133" s="792"/>
      <c r="F133" s="800"/>
      <c r="G133" s="790"/>
      <c r="J133" s="787"/>
      <c r="K133" s="787"/>
      <c r="L133" s="788"/>
    </row>
    <row r="134" spans="2:20" x14ac:dyDescent="0.2">
      <c r="B134" s="798" t="s">
        <v>636</v>
      </c>
      <c r="C134" s="795"/>
      <c r="D134" s="801"/>
      <c r="E134" s="792"/>
      <c r="F134" s="800"/>
      <c r="G134" s="790"/>
      <c r="J134" s="787"/>
      <c r="K134" s="787"/>
      <c r="L134" s="788"/>
    </row>
    <row r="135" spans="2:20" x14ac:dyDescent="0.2">
      <c r="C135" s="787"/>
      <c r="D135" s="787"/>
      <c r="E135" s="787"/>
      <c r="F135" s="787"/>
      <c r="G135" s="787"/>
      <c r="H135" s="787"/>
      <c r="I135" s="787"/>
      <c r="J135" s="787"/>
      <c r="K135" s="787"/>
      <c r="L135" s="788"/>
    </row>
    <row r="136" spans="2:20" x14ac:dyDescent="0.2">
      <c r="C136" s="787"/>
      <c r="D136" s="787"/>
      <c r="E136" s="787"/>
      <c r="F136" s="787"/>
      <c r="G136" s="787"/>
      <c r="H136" s="787"/>
      <c r="I136" s="787"/>
      <c r="J136" s="787"/>
      <c r="K136" s="787"/>
      <c r="L136" s="788"/>
    </row>
    <row r="137" spans="2:20" x14ac:dyDescent="0.2">
      <c r="C137" s="787"/>
      <c r="D137" s="787"/>
      <c r="E137" s="787"/>
      <c r="F137" s="787"/>
      <c r="G137" s="787"/>
      <c r="H137" s="787"/>
      <c r="I137" s="787"/>
      <c r="J137" s="787"/>
      <c r="K137" s="787"/>
      <c r="L137" s="788"/>
    </row>
    <row r="138" spans="2:20" ht="15.75" x14ac:dyDescent="0.25">
      <c r="B138" s="99" t="s">
        <v>713</v>
      </c>
      <c r="C138" s="787"/>
      <c r="D138" s="787"/>
      <c r="E138" s="787"/>
      <c r="F138" s="787"/>
      <c r="G138" s="787"/>
      <c r="H138" s="787"/>
      <c r="I138" s="787"/>
      <c r="J138" s="787"/>
      <c r="K138" s="787"/>
      <c r="L138" s="788"/>
    </row>
    <row r="139" spans="2:20" ht="15.75" x14ac:dyDescent="0.25">
      <c r="B139" s="99"/>
      <c r="C139" s="787"/>
      <c r="D139" s="787"/>
      <c r="E139" s="787"/>
      <c r="F139" s="787"/>
      <c r="G139" s="787"/>
      <c r="H139" s="787"/>
      <c r="I139" s="787"/>
      <c r="J139" s="787"/>
      <c r="K139" s="787"/>
      <c r="L139" s="788"/>
    </row>
    <row r="140" spans="2:20" x14ac:dyDescent="0.2">
      <c r="B140" s="101" t="s">
        <v>717</v>
      </c>
      <c r="C140" s="787"/>
      <c r="D140" s="787"/>
      <c r="E140" s="787"/>
      <c r="F140" s="787"/>
      <c r="G140" s="787"/>
      <c r="H140" s="787"/>
      <c r="I140" s="787"/>
      <c r="J140" s="787"/>
      <c r="K140" s="787"/>
      <c r="L140" s="788"/>
    </row>
    <row r="141" spans="2:20" x14ac:dyDescent="0.2">
      <c r="B141" s="101" t="s">
        <v>857</v>
      </c>
      <c r="C141" s="787"/>
      <c r="D141" s="787"/>
      <c r="E141" s="787"/>
      <c r="F141" s="787"/>
      <c r="G141" s="787"/>
      <c r="H141" s="787"/>
      <c r="I141" s="787"/>
      <c r="J141" s="787"/>
      <c r="K141" s="787"/>
      <c r="L141" s="788"/>
      <c r="Q141" s="833"/>
    </row>
    <row r="142" spans="2:20" ht="15.75" x14ac:dyDescent="0.25">
      <c r="B142" s="99"/>
      <c r="C142" s="787"/>
      <c r="D142" s="787"/>
      <c r="E142" s="787"/>
      <c r="F142" s="787"/>
      <c r="G142" s="787"/>
      <c r="H142" s="787"/>
      <c r="I142" s="787"/>
      <c r="J142" s="787"/>
      <c r="K142" s="787"/>
      <c r="L142" s="788"/>
    </row>
    <row r="143" spans="2:20" ht="15.75" x14ac:dyDescent="0.25">
      <c r="B143" s="698"/>
      <c r="C143" s="857" t="s">
        <v>752</v>
      </c>
      <c r="D143" s="848"/>
      <c r="E143" s="794"/>
      <c r="G143" s="845" t="s">
        <v>712</v>
      </c>
      <c r="H143" s="846"/>
      <c r="I143" s="787"/>
      <c r="M143" s="819"/>
      <c r="N143" s="849" t="s">
        <v>720</v>
      </c>
      <c r="O143" s="820"/>
      <c r="P143" s="841" t="s">
        <v>718</v>
      </c>
      <c r="Q143" s="834" t="s">
        <v>719</v>
      </c>
      <c r="S143" s="1281"/>
      <c r="T143" s="1281"/>
    </row>
    <row r="144" spans="2:20" x14ac:dyDescent="0.2">
      <c r="C144" s="855" t="s">
        <v>753</v>
      </c>
      <c r="D144" s="847" t="s">
        <v>755</v>
      </c>
      <c r="E144" s="841" t="s">
        <v>750</v>
      </c>
      <c r="G144" s="834" t="s">
        <v>858</v>
      </c>
      <c r="H144" s="847"/>
      <c r="M144" s="745"/>
      <c r="N144" s="854" t="s">
        <v>709</v>
      </c>
      <c r="O144" s="698"/>
      <c r="P144" s="841" t="s">
        <v>723</v>
      </c>
      <c r="Q144" s="834" t="s">
        <v>721</v>
      </c>
      <c r="S144" s="1281"/>
      <c r="T144" s="1281"/>
    </row>
    <row r="145" spans="2:20" s="808" customFormat="1" ht="45" x14ac:dyDescent="0.2">
      <c r="B145" s="812"/>
      <c r="C145" s="844" t="s">
        <v>754</v>
      </c>
      <c r="D145" s="838" t="s">
        <v>754</v>
      </c>
      <c r="E145" s="844" t="s">
        <v>751</v>
      </c>
      <c r="F145" s="968" t="s">
        <v>859</v>
      </c>
      <c r="G145" s="966" t="s">
        <v>860</v>
      </c>
      <c r="H145" s="967" t="s">
        <v>861</v>
      </c>
      <c r="I145" s="813" t="s">
        <v>57</v>
      </c>
      <c r="J145" s="814" t="s">
        <v>623</v>
      </c>
      <c r="K145" s="814" t="s">
        <v>897</v>
      </c>
      <c r="L145" s="814"/>
      <c r="M145" s="813" t="s">
        <v>710</v>
      </c>
      <c r="N145" s="814" t="s">
        <v>715</v>
      </c>
      <c r="O145" s="815" t="s">
        <v>711</v>
      </c>
      <c r="P145" s="839" t="s">
        <v>724</v>
      </c>
      <c r="Q145" s="844" t="s">
        <v>722</v>
      </c>
      <c r="S145" s="1281"/>
      <c r="T145" s="1281"/>
    </row>
    <row r="146" spans="2:20" s="810" customFormat="1" ht="30" x14ac:dyDescent="0.2">
      <c r="B146" s="809" t="s">
        <v>702</v>
      </c>
      <c r="C146" s="856"/>
      <c r="D146" s="840"/>
      <c r="E146" s="822"/>
      <c r="F146" s="823"/>
      <c r="G146" s="824"/>
      <c r="H146" s="825"/>
      <c r="I146" s="826"/>
      <c r="J146" s="851"/>
      <c r="K146" s="851"/>
      <c r="L146" s="853"/>
      <c r="M146" s="827">
        <v>1</v>
      </c>
      <c r="N146" s="828">
        <v>0.25</v>
      </c>
      <c r="O146" s="829">
        <v>0</v>
      </c>
      <c r="P146" s="850">
        <f>D146*((F146*M146)+(N146*G146))</f>
        <v>0</v>
      </c>
      <c r="Q146" s="842">
        <f>P146*E146*'G &amp; S Initial'!$C$32</f>
        <v>0</v>
      </c>
      <c r="S146" s="836"/>
      <c r="T146" s="837"/>
    </row>
    <row r="147" spans="2:20" s="810" customFormat="1" ht="45" x14ac:dyDescent="0.2">
      <c r="B147" s="809" t="s">
        <v>704</v>
      </c>
      <c r="C147" s="675"/>
      <c r="D147" s="840"/>
      <c r="E147" s="822"/>
      <c r="F147" s="823"/>
      <c r="G147" s="824"/>
      <c r="H147" s="825"/>
      <c r="I147" s="826"/>
      <c r="J147" s="851"/>
      <c r="K147" s="851"/>
      <c r="L147" s="852"/>
      <c r="M147" s="830">
        <v>1</v>
      </c>
      <c r="N147" s="831">
        <v>0.25</v>
      </c>
      <c r="O147" s="832">
        <v>0</v>
      </c>
      <c r="P147" s="850">
        <f>D147*((F147*M147)+(N147*G147))</f>
        <v>0</v>
      </c>
      <c r="Q147" s="843">
        <f>P147*E147*'G &amp; S Initial'!$C$32</f>
        <v>0</v>
      </c>
      <c r="S147" s="837"/>
      <c r="T147" s="836"/>
    </row>
    <row r="148" spans="2:20" s="810" customFormat="1" x14ac:dyDescent="0.2">
      <c r="B148" s="809"/>
      <c r="C148" s="809"/>
      <c r="D148" s="809"/>
      <c r="E148" s="809"/>
      <c r="F148" s="809"/>
      <c r="G148" s="809"/>
      <c r="H148" s="809"/>
      <c r="I148" s="809"/>
      <c r="J148" s="809"/>
      <c r="K148" s="809"/>
      <c r="L148" s="809"/>
      <c r="M148" s="809"/>
      <c r="N148" s="809"/>
      <c r="O148" s="809"/>
      <c r="P148" s="809"/>
    </row>
    <row r="149" spans="2:20" s="810" customFormat="1" x14ac:dyDescent="0.2">
      <c r="B149" s="821" t="s">
        <v>716</v>
      </c>
      <c r="C149" s="816"/>
      <c r="D149" s="817"/>
      <c r="E149" s="818"/>
      <c r="F149" s="50"/>
      <c r="G149" s="50"/>
      <c r="H149" s="46"/>
      <c r="I149" s="46"/>
    </row>
    <row r="150" spans="2:20" s="810" customFormat="1" x14ac:dyDescent="0.2">
      <c r="B150" s="1258" t="s">
        <v>1145</v>
      </c>
      <c r="C150" s="816"/>
      <c r="D150" s="817"/>
      <c r="E150" s="818"/>
      <c r="F150" s="50"/>
      <c r="G150" s="50"/>
      <c r="H150" s="46"/>
      <c r="I150" s="46"/>
    </row>
    <row r="151" spans="2:20" s="810" customFormat="1" x14ac:dyDescent="0.2">
      <c r="B151" s="809"/>
      <c r="C151" s="816"/>
      <c r="D151" s="817"/>
      <c r="E151" s="818"/>
      <c r="F151" s="50"/>
      <c r="G151" s="50"/>
      <c r="H151" s="46"/>
      <c r="I151" s="46"/>
    </row>
    <row r="152" spans="2:20" s="810" customFormat="1" x14ac:dyDescent="0.2">
      <c r="B152" s="1198" t="s">
        <v>445</v>
      </c>
      <c r="C152" s="816"/>
      <c r="D152" s="817"/>
      <c r="E152" s="818"/>
      <c r="F152" s="50"/>
      <c r="G152" s="50"/>
      <c r="H152" s="46"/>
      <c r="I152" s="46"/>
    </row>
    <row r="153" spans="2:20" s="810" customFormat="1" x14ac:dyDescent="0.2">
      <c r="B153" s="1197" t="s">
        <v>446</v>
      </c>
      <c r="C153" s="816"/>
      <c r="D153" s="817"/>
      <c r="E153" s="818"/>
      <c r="F153" s="50"/>
      <c r="G153" s="50"/>
      <c r="H153" s="46"/>
      <c r="I153" s="46"/>
    </row>
    <row r="154" spans="2:20" s="810" customFormat="1" x14ac:dyDescent="0.2">
      <c r="B154" s="811"/>
      <c r="C154" s="816"/>
      <c r="D154" s="817"/>
      <c r="E154" s="818"/>
      <c r="F154" s="50"/>
      <c r="G154" s="50"/>
      <c r="H154" s="46"/>
      <c r="I154" s="46"/>
    </row>
    <row r="155" spans="2:20" s="810" customFormat="1" ht="18" x14ac:dyDescent="0.25">
      <c r="B155" s="571" t="s">
        <v>863</v>
      </c>
      <c r="C155" s="816"/>
      <c r="D155" s="817"/>
      <c r="E155" s="818"/>
      <c r="F155" s="50"/>
      <c r="G155" s="50"/>
      <c r="H155" s="46"/>
      <c r="I155" s="46"/>
    </row>
    <row r="156" spans="2:20" s="810" customFormat="1" x14ac:dyDescent="0.2">
      <c r="B156" s="811"/>
      <c r="C156" s="816"/>
      <c r="D156" s="817"/>
      <c r="E156" s="818"/>
      <c r="F156" s="50"/>
      <c r="G156" s="50"/>
      <c r="H156" s="46"/>
      <c r="I156" s="46"/>
    </row>
    <row r="157" spans="2:20" s="879" customFormat="1" ht="15.75" x14ac:dyDescent="0.25">
      <c r="B157" s="572" t="s">
        <v>147</v>
      </c>
      <c r="C157" s="876"/>
      <c r="D157" s="533"/>
      <c r="E157" s="877"/>
      <c r="F157" s="878"/>
      <c r="G157" s="878"/>
      <c r="H157" s="574"/>
      <c r="I157" s="574"/>
    </row>
    <row r="158" spans="2:20" s="879" customFormat="1" x14ac:dyDescent="0.2">
      <c r="B158" s="973" t="s">
        <v>864</v>
      </c>
      <c r="C158" s="876"/>
      <c r="D158" s="533"/>
      <c r="E158" s="877"/>
      <c r="F158" s="878"/>
      <c r="G158" s="878"/>
      <c r="H158" s="574"/>
      <c r="I158" s="574"/>
    </row>
    <row r="159" spans="2:20" s="879" customFormat="1" x14ac:dyDescent="0.2">
      <c r="B159" s="973"/>
      <c r="C159" s="876"/>
      <c r="D159" s="533"/>
      <c r="E159" s="877"/>
      <c r="F159" s="878"/>
      <c r="G159" s="878"/>
      <c r="H159" s="574"/>
      <c r="I159" s="574"/>
    </row>
    <row r="160" spans="2:20" s="879" customFormat="1" x14ac:dyDescent="0.2">
      <c r="B160" s="980" t="s">
        <v>872</v>
      </c>
      <c r="C160" s="876"/>
      <c r="D160" s="533"/>
      <c r="E160" s="877"/>
      <c r="F160" s="878"/>
      <c r="G160" s="878"/>
      <c r="H160" s="574"/>
      <c r="I160" s="574"/>
    </row>
    <row r="161" spans="2:9" s="879" customFormat="1" x14ac:dyDescent="0.2">
      <c r="B161" s="977" t="s">
        <v>1095</v>
      </c>
      <c r="C161" s="876"/>
      <c r="D161" s="533"/>
      <c r="E161" s="877"/>
      <c r="F161" s="878"/>
      <c r="G161" s="981">
        <v>5.01</v>
      </c>
      <c r="I161" s="574"/>
    </row>
    <row r="162" spans="2:9" s="879" customFormat="1" x14ac:dyDescent="0.2">
      <c r="B162" s="978" t="s">
        <v>797</v>
      </c>
      <c r="C162" s="876"/>
      <c r="D162" s="533"/>
      <c r="E162" s="877"/>
      <c r="F162" s="878"/>
      <c r="G162" s="878"/>
      <c r="H162" s="891"/>
      <c r="I162" s="574"/>
    </row>
    <row r="163" spans="2:9" s="879" customFormat="1" x14ac:dyDescent="0.2">
      <c r="B163" s="978" t="s">
        <v>800</v>
      </c>
      <c r="C163" s="876"/>
      <c r="D163" s="533"/>
      <c r="E163" s="877"/>
      <c r="F163" s="878"/>
      <c r="G163" s="878"/>
      <c r="H163" s="574"/>
      <c r="I163" s="574"/>
    </row>
    <row r="164" spans="2:9" s="879" customFormat="1" x14ac:dyDescent="0.2">
      <c r="B164" s="979"/>
      <c r="C164" s="876"/>
      <c r="D164" s="533"/>
      <c r="E164" s="877"/>
      <c r="F164" s="878"/>
      <c r="G164" s="878"/>
      <c r="H164" s="574"/>
      <c r="I164" s="574"/>
    </row>
    <row r="165" spans="2:9" s="879" customFormat="1" x14ac:dyDescent="0.2">
      <c r="B165" s="977" t="s">
        <v>610</v>
      </c>
      <c r="C165" s="876"/>
      <c r="D165" s="533"/>
      <c r="E165" s="877"/>
      <c r="F165" s="878"/>
      <c r="G165" s="878"/>
      <c r="H165" s="574"/>
      <c r="I165" s="574"/>
    </row>
    <row r="166" spans="2:9" s="879" customFormat="1" x14ac:dyDescent="0.2">
      <c r="B166" s="977" t="s">
        <v>798</v>
      </c>
      <c r="C166" s="876"/>
      <c r="D166" s="533"/>
      <c r="E166" s="877"/>
      <c r="F166" s="878"/>
      <c r="G166" s="878"/>
      <c r="H166" s="574"/>
      <c r="I166" s="574"/>
    </row>
    <row r="167" spans="2:9" s="879" customFormat="1" x14ac:dyDescent="0.2">
      <c r="B167" s="977" t="s">
        <v>1096</v>
      </c>
      <c r="C167" s="876"/>
      <c r="D167" s="533"/>
      <c r="E167" s="877"/>
      <c r="F167" s="878"/>
      <c r="G167" s="878"/>
      <c r="H167" s="574"/>
      <c r="I167" s="574"/>
    </row>
    <row r="168" spans="2:9" s="879" customFormat="1" x14ac:dyDescent="0.2">
      <c r="C168" s="876"/>
      <c r="D168" s="533"/>
      <c r="E168" s="877"/>
      <c r="F168" s="878"/>
      <c r="G168" s="878"/>
      <c r="H168" s="574"/>
      <c r="I168" s="574"/>
    </row>
    <row r="169" spans="2:9" s="879" customFormat="1" x14ac:dyDescent="0.2">
      <c r="B169" s="880" t="s">
        <v>871</v>
      </c>
      <c r="C169" s="876"/>
      <c r="D169" s="533"/>
      <c r="E169" s="877"/>
      <c r="F169" s="878"/>
      <c r="G169" s="878"/>
      <c r="H169" s="574"/>
      <c r="I169" s="574"/>
    </row>
    <row r="170" spans="2:9" s="879" customFormat="1" x14ac:dyDescent="0.2">
      <c r="C170" s="876"/>
      <c r="D170" s="533"/>
      <c r="E170" s="877"/>
      <c r="F170" s="878"/>
      <c r="G170" s="878"/>
      <c r="H170" s="574"/>
      <c r="I170" s="574"/>
    </row>
    <row r="171" spans="2:9" s="879" customFormat="1" x14ac:dyDescent="0.2">
      <c r="B171" s="574" t="s">
        <v>868</v>
      </c>
      <c r="C171" s="876"/>
      <c r="D171" s="533"/>
      <c r="E171" s="877"/>
      <c r="F171" s="878"/>
      <c r="G171" s="878"/>
      <c r="H171" s="574"/>
      <c r="I171" s="574"/>
    </row>
    <row r="172" spans="2:9" s="879" customFormat="1" x14ac:dyDescent="0.2">
      <c r="B172" s="976" t="s">
        <v>869</v>
      </c>
      <c r="C172" s="881"/>
      <c r="D172" s="881"/>
      <c r="E172" s="882"/>
    </row>
    <row r="173" spans="2:9" s="879" customFormat="1" x14ac:dyDescent="0.2">
      <c r="B173" s="552" t="s">
        <v>799</v>
      </c>
      <c r="C173" s="881"/>
      <c r="D173" s="881"/>
      <c r="E173" s="882"/>
    </row>
    <row r="174" spans="2:9" s="879" customFormat="1" x14ac:dyDescent="0.2">
      <c r="B174" s="553" t="s">
        <v>801</v>
      </c>
      <c r="C174" s="881"/>
      <c r="D174" s="881"/>
      <c r="E174" s="882"/>
    </row>
    <row r="175" spans="2:9" s="879" customFormat="1" x14ac:dyDescent="0.2">
      <c r="B175" s="553" t="s">
        <v>802</v>
      </c>
      <c r="C175" s="881"/>
      <c r="D175" s="881"/>
      <c r="E175" s="882"/>
    </row>
    <row r="176" spans="2:9" s="879" customFormat="1" x14ac:dyDescent="0.2">
      <c r="B176" s="535" t="s">
        <v>870</v>
      </c>
      <c r="C176" s="881"/>
      <c r="D176" s="881"/>
      <c r="E176" s="882"/>
    </row>
    <row r="177" spans="2:9" s="574" customFormat="1" x14ac:dyDescent="0.2">
      <c r="B177" s="535"/>
      <c r="C177" s="533"/>
      <c r="D177" s="533"/>
      <c r="E177" s="534"/>
    </row>
    <row r="178" spans="2:9" s="574" customFormat="1" ht="15.75" x14ac:dyDescent="0.25">
      <c r="B178" s="536"/>
      <c r="C178" s="537" t="s">
        <v>60</v>
      </c>
      <c r="D178" s="554" t="s">
        <v>275</v>
      </c>
    </row>
    <row r="179" spans="2:9" s="574" customFormat="1" ht="185.25" x14ac:dyDescent="0.2">
      <c r="B179" s="555" t="s">
        <v>276</v>
      </c>
      <c r="C179" s="546" t="s">
        <v>274</v>
      </c>
      <c r="D179" s="547">
        <f>AVERAGE(5,5,3.5,4.25,5,4)</f>
        <v>4.458333333333333</v>
      </c>
    </row>
    <row r="180" spans="2:9" s="574" customFormat="1" ht="185.25" x14ac:dyDescent="0.2">
      <c r="B180" s="540" t="s">
        <v>277</v>
      </c>
      <c r="C180" s="539" t="s">
        <v>279</v>
      </c>
      <c r="D180" s="556">
        <f>AVERAGE(2.5,3,1.5,2,0,2.5)</f>
        <v>1.9166666666666667</v>
      </c>
      <c r="E180" s="548"/>
    </row>
    <row r="181" spans="2:9" s="574" customFormat="1" x14ac:dyDescent="0.2">
      <c r="B181" s="533"/>
      <c r="C181" s="533"/>
      <c r="D181" s="573"/>
      <c r="E181" s="548"/>
    </row>
    <row r="182" spans="2:9" s="574" customFormat="1" x14ac:dyDescent="0.2">
      <c r="B182" s="985" t="s">
        <v>613</v>
      </c>
      <c r="E182" s="548"/>
    </row>
    <row r="183" spans="2:9" s="574" customFormat="1" x14ac:dyDescent="0.2">
      <c r="B183" s="574" t="s">
        <v>612</v>
      </c>
      <c r="C183" s="761" t="s">
        <v>609</v>
      </c>
      <c r="E183" s="548"/>
    </row>
    <row r="184" spans="2:9" s="574" customFormat="1" x14ac:dyDescent="0.2">
      <c r="B184" s="574" t="s">
        <v>611</v>
      </c>
      <c r="C184" s="761"/>
      <c r="E184" s="548"/>
    </row>
    <row r="185" spans="2:9" s="574" customFormat="1" x14ac:dyDescent="0.2">
      <c r="B185" s="762" t="s">
        <v>614</v>
      </c>
      <c r="E185" s="548"/>
    </row>
    <row r="186" spans="2:9" s="574" customFormat="1" x14ac:dyDescent="0.2">
      <c r="B186" s="762"/>
      <c r="E186" s="548"/>
    </row>
    <row r="187" spans="2:9" s="574" customFormat="1" ht="15.75" x14ac:dyDescent="0.25">
      <c r="B187" s="572" t="s">
        <v>900</v>
      </c>
      <c r="C187" s="533"/>
      <c r="E187" s="534"/>
      <c r="F187" s="759"/>
    </row>
    <row r="188" spans="2:9" s="574" customFormat="1" x14ac:dyDescent="0.2">
      <c r="B188" s="974" t="s">
        <v>865</v>
      </c>
      <c r="C188" s="533"/>
      <c r="E188" s="534"/>
      <c r="F188" s="759"/>
    </row>
    <row r="189" spans="2:9" s="574" customFormat="1" x14ac:dyDescent="0.2">
      <c r="B189" s="974"/>
      <c r="C189" s="533"/>
      <c r="E189" s="534"/>
      <c r="F189" s="759"/>
    </row>
    <row r="190" spans="2:9" s="574" customFormat="1" x14ac:dyDescent="0.2">
      <c r="B190" s="980" t="s">
        <v>872</v>
      </c>
      <c r="C190" s="533"/>
      <c r="E190" s="534"/>
      <c r="F190" s="759"/>
    </row>
    <row r="191" spans="2:9" s="574" customFormat="1" x14ac:dyDescent="0.2">
      <c r="B191" s="975" t="s">
        <v>901</v>
      </c>
      <c r="C191" s="893"/>
      <c r="D191" s="894"/>
      <c r="E191" s="895"/>
      <c r="F191" s="883"/>
      <c r="G191" s="894"/>
      <c r="H191" s="894"/>
      <c r="I191" s="982">
        <f>H104</f>
        <v>1.7722176308539945</v>
      </c>
    </row>
    <row r="192" spans="2:9" s="574" customFormat="1" x14ac:dyDescent="0.2">
      <c r="B192" s="983" t="s">
        <v>902</v>
      </c>
      <c r="C192" s="893"/>
      <c r="D192" s="894"/>
      <c r="E192" s="895"/>
      <c r="F192" s="883"/>
      <c r="G192" s="894"/>
      <c r="H192" s="894"/>
    </row>
    <row r="193" spans="2:12" s="574" customFormat="1" x14ac:dyDescent="0.2">
      <c r="B193" s="983" t="s">
        <v>804</v>
      </c>
      <c r="C193" s="533"/>
      <c r="D193" s="533"/>
      <c r="E193" s="534"/>
      <c r="H193" s="760"/>
      <c r="L193" s="548"/>
    </row>
    <row r="194" spans="2:12" s="574" customFormat="1" x14ac:dyDescent="0.2">
      <c r="B194" s="983"/>
      <c r="C194" s="533"/>
      <c r="D194" s="533"/>
      <c r="E194" s="534"/>
      <c r="H194" s="760"/>
      <c r="L194" s="548"/>
    </row>
    <row r="195" spans="2:12" s="574" customFormat="1" x14ac:dyDescent="0.2">
      <c r="B195" s="1027" t="s">
        <v>973</v>
      </c>
      <c r="C195" s="533"/>
      <c r="D195" s="533"/>
      <c r="E195" s="534"/>
      <c r="H195" s="760"/>
      <c r="L195" s="548"/>
    </row>
    <row r="196" spans="2:12" s="574" customFormat="1" x14ac:dyDescent="0.2">
      <c r="B196" s="983" t="s">
        <v>974</v>
      </c>
      <c r="C196" s="533"/>
      <c r="D196" s="533"/>
      <c r="E196" s="534"/>
      <c r="F196" s="759">
        <f>G161</f>
        <v>5.01</v>
      </c>
      <c r="H196" s="760"/>
      <c r="L196" s="548"/>
    </row>
    <row r="197" spans="2:12" s="574" customFormat="1" x14ac:dyDescent="0.2">
      <c r="B197" s="983" t="s">
        <v>975</v>
      </c>
      <c r="C197" s="533"/>
      <c r="D197" s="533"/>
      <c r="E197" s="534"/>
      <c r="F197" s="759">
        <f>I191</f>
        <v>1.7722176308539945</v>
      </c>
      <c r="H197" s="760"/>
      <c r="L197" s="548"/>
    </row>
    <row r="198" spans="2:12" s="574" customFormat="1" x14ac:dyDescent="0.2">
      <c r="B198" s="983" t="s">
        <v>903</v>
      </c>
      <c r="C198" s="533"/>
      <c r="D198" s="533"/>
      <c r="E198" s="534"/>
      <c r="H198" s="760"/>
      <c r="L198" s="548"/>
    </row>
    <row r="199" spans="2:12" s="574" customFormat="1" x14ac:dyDescent="0.2">
      <c r="B199" s="983" t="s">
        <v>976</v>
      </c>
      <c r="C199" s="533"/>
      <c r="D199" s="533"/>
      <c r="E199" s="534"/>
      <c r="H199" s="760"/>
      <c r="L199" s="548"/>
    </row>
    <row r="200" spans="2:12" s="574" customFormat="1" x14ac:dyDescent="0.2">
      <c r="B200" s="983" t="s">
        <v>904</v>
      </c>
      <c r="C200" s="533"/>
      <c r="D200" s="533"/>
      <c r="E200" s="534"/>
      <c r="H200" s="760"/>
      <c r="L200" s="548"/>
    </row>
    <row r="201" spans="2:12" s="574" customFormat="1" x14ac:dyDescent="0.2">
      <c r="B201" s="983" t="s">
        <v>977</v>
      </c>
      <c r="C201" s="533"/>
      <c r="D201" s="533"/>
      <c r="E201" s="534"/>
      <c r="H201" s="760"/>
      <c r="L201" s="548"/>
    </row>
    <row r="202" spans="2:12" s="574" customFormat="1" x14ac:dyDescent="0.2">
      <c r="B202" s="983" t="s">
        <v>978</v>
      </c>
      <c r="C202" s="533"/>
      <c r="D202" s="533"/>
      <c r="E202" s="534"/>
      <c r="H202" s="760"/>
      <c r="L202" s="548"/>
    </row>
    <row r="203" spans="2:12" s="574" customFormat="1" x14ac:dyDescent="0.2">
      <c r="B203" s="892"/>
      <c r="C203" s="533"/>
      <c r="D203" s="533"/>
      <c r="E203" s="534"/>
      <c r="H203" s="760"/>
      <c r="I203" s="575"/>
      <c r="L203" s="548"/>
    </row>
    <row r="204" spans="2:12" s="574" customFormat="1" x14ac:dyDescent="0.2">
      <c r="B204" s="890" t="s">
        <v>1097</v>
      </c>
      <c r="C204" s="533"/>
      <c r="D204" s="533"/>
      <c r="E204" s="534"/>
      <c r="H204" s="760"/>
      <c r="I204" s="575"/>
    </row>
    <row r="205" spans="2:12" s="574" customFormat="1" x14ac:dyDescent="0.2">
      <c r="B205" s="535" t="s">
        <v>803</v>
      </c>
      <c r="C205" s="533"/>
      <c r="D205" s="533"/>
      <c r="E205" s="534"/>
      <c r="H205" s="760"/>
      <c r="I205" s="575"/>
    </row>
    <row r="206" spans="2:12" s="574" customFormat="1" x14ac:dyDescent="0.2">
      <c r="B206" s="574" t="s">
        <v>615</v>
      </c>
      <c r="C206" s="533"/>
      <c r="D206" s="533"/>
      <c r="E206" s="534"/>
      <c r="H206" s="760"/>
      <c r="I206" s="575"/>
    </row>
    <row r="207" spans="2:12" s="574" customFormat="1" x14ac:dyDescent="0.2">
      <c r="B207" s="762" t="s">
        <v>616</v>
      </c>
      <c r="C207" s="533"/>
      <c r="D207" s="533"/>
      <c r="E207" s="534"/>
      <c r="H207" s="760"/>
      <c r="I207" s="575"/>
    </row>
    <row r="208" spans="2:12" s="574" customFormat="1" x14ac:dyDescent="0.2">
      <c r="B208" s="535" t="s">
        <v>278</v>
      </c>
      <c r="C208" s="533"/>
      <c r="D208" s="533"/>
      <c r="E208" s="534"/>
      <c r="H208" s="760"/>
      <c r="I208" s="575"/>
    </row>
    <row r="209" spans="2:8" s="574" customFormat="1" x14ac:dyDescent="0.2">
      <c r="B209" s="535"/>
      <c r="C209" s="533"/>
      <c r="D209" s="533"/>
      <c r="E209" s="534"/>
      <c r="H209" s="760"/>
    </row>
    <row r="210" spans="2:8" s="574" customFormat="1" ht="15.75" x14ac:dyDescent="0.25">
      <c r="B210" s="536"/>
      <c r="C210" s="537" t="s">
        <v>60</v>
      </c>
      <c r="D210" s="538" t="s">
        <v>285</v>
      </c>
      <c r="E210" s="554" t="s">
        <v>275</v>
      </c>
    </row>
    <row r="211" spans="2:8" s="574" customFormat="1" ht="142.5" x14ac:dyDescent="0.2">
      <c r="B211" s="542" t="s">
        <v>289</v>
      </c>
      <c r="C211" s="543" t="s">
        <v>281</v>
      </c>
      <c r="D211" s="544" t="s">
        <v>282</v>
      </c>
      <c r="E211" s="545">
        <f>AVERAGE(4, 2, 3.75, 3.5, 4.5)</f>
        <v>3.55</v>
      </c>
    </row>
    <row r="212" spans="2:8" s="574" customFormat="1" ht="42.75" x14ac:dyDescent="0.2">
      <c r="B212" s="557" t="s">
        <v>290</v>
      </c>
      <c r="C212" s="558" t="s">
        <v>283</v>
      </c>
      <c r="D212" s="559"/>
      <c r="E212" s="560">
        <f>E211*2</f>
        <v>7.1</v>
      </c>
    </row>
    <row r="213" spans="2:8" s="574" customFormat="1" ht="57" x14ac:dyDescent="0.2">
      <c r="B213" s="542" t="s">
        <v>288</v>
      </c>
      <c r="C213" s="543" t="s">
        <v>286</v>
      </c>
      <c r="D213" s="544" t="s">
        <v>282</v>
      </c>
      <c r="E213" s="575">
        <f>E212</f>
        <v>7.1</v>
      </c>
    </row>
    <row r="214" spans="2:8" s="574" customFormat="1" ht="71.25" x14ac:dyDescent="0.2">
      <c r="B214" s="569" t="s">
        <v>287</v>
      </c>
      <c r="C214" s="562" t="s">
        <v>280</v>
      </c>
      <c r="D214" s="563"/>
      <c r="E214" s="570">
        <f>D180</f>
        <v>1.9166666666666667</v>
      </c>
    </row>
    <row r="215" spans="2:8" s="574" customFormat="1" ht="242.25" x14ac:dyDescent="0.2">
      <c r="B215" s="557" t="s">
        <v>291</v>
      </c>
      <c r="C215" s="558" t="s">
        <v>284</v>
      </c>
      <c r="D215" s="559"/>
      <c r="E215" s="560">
        <f>E211*2</f>
        <v>7.1</v>
      </c>
    </row>
    <row r="216" spans="2:8" s="574" customFormat="1" ht="114.75" customHeight="1" x14ac:dyDescent="0.2">
      <c r="B216" s="561" t="s">
        <v>292</v>
      </c>
      <c r="C216" s="562" t="s">
        <v>294</v>
      </c>
      <c r="D216" s="563" t="s">
        <v>295</v>
      </c>
      <c r="E216" s="564"/>
    </row>
    <row r="217" spans="2:8" s="574" customFormat="1" ht="45.75" x14ac:dyDescent="0.2">
      <c r="B217" s="565" t="s">
        <v>293</v>
      </c>
      <c r="C217" s="566" t="s">
        <v>296</v>
      </c>
      <c r="D217" s="567" t="s">
        <v>148</v>
      </c>
      <c r="E217" s="568">
        <f>$D$179</f>
        <v>4.458333333333333</v>
      </c>
    </row>
    <row r="218" spans="2:8" s="574" customFormat="1" x14ac:dyDescent="0.2">
      <c r="B218" s="541"/>
      <c r="C218" s="533"/>
      <c r="D218" s="533"/>
      <c r="E218" s="534"/>
    </row>
    <row r="219" spans="2:8" s="574" customFormat="1" x14ac:dyDescent="0.2">
      <c r="B219" s="1030" t="s">
        <v>1005</v>
      </c>
      <c r="C219" s="533"/>
      <c r="D219" s="533"/>
      <c r="E219" s="534"/>
    </row>
    <row r="220" spans="2:8" s="574" customFormat="1" x14ac:dyDescent="0.2">
      <c r="B220" s="1030"/>
      <c r="C220" s="533"/>
      <c r="D220" s="533"/>
      <c r="E220" s="534"/>
    </row>
    <row r="221" spans="2:8" s="574" customFormat="1" x14ac:dyDescent="0.2">
      <c r="B221" s="1031" t="s">
        <v>1006</v>
      </c>
      <c r="C221" s="533"/>
      <c r="D221" s="533"/>
      <c r="E221" s="534"/>
    </row>
    <row r="222" spans="2:8" s="574" customFormat="1" x14ac:dyDescent="0.2">
      <c r="B222" s="1031" t="s">
        <v>982</v>
      </c>
      <c r="C222" s="533"/>
      <c r="D222" s="533"/>
      <c r="E222" s="534"/>
    </row>
    <row r="223" spans="2:8" s="574" customFormat="1" x14ac:dyDescent="0.2">
      <c r="B223" s="1031" t="s">
        <v>998</v>
      </c>
      <c r="C223" s="533"/>
      <c r="D223" s="533"/>
      <c r="E223" s="534"/>
    </row>
    <row r="224" spans="2:8" s="574" customFormat="1" x14ac:dyDescent="0.2">
      <c r="B224" s="1031" t="s">
        <v>1000</v>
      </c>
      <c r="C224" s="533"/>
      <c r="D224" s="533"/>
      <c r="E224" s="534"/>
    </row>
    <row r="225" spans="2:5" s="574" customFormat="1" x14ac:dyDescent="0.2">
      <c r="B225" s="1031" t="s">
        <v>999</v>
      </c>
      <c r="C225" s="533"/>
      <c r="D225" s="533"/>
      <c r="E225" s="534"/>
    </row>
    <row r="226" spans="2:5" s="574" customFormat="1" x14ac:dyDescent="0.2">
      <c r="B226" s="1030"/>
      <c r="C226" s="533"/>
      <c r="D226" s="533"/>
      <c r="E226" s="534"/>
    </row>
    <row r="227" spans="2:5" s="574" customFormat="1" x14ac:dyDescent="0.2">
      <c r="B227" s="1042" t="s">
        <v>983</v>
      </c>
      <c r="C227" s="537" t="s">
        <v>60</v>
      </c>
      <c r="D227" s="538" t="s">
        <v>285</v>
      </c>
      <c r="E227" s="1043" t="s">
        <v>984</v>
      </c>
    </row>
    <row r="228" spans="2:5" s="574" customFormat="1" ht="142.5" x14ac:dyDescent="0.2">
      <c r="B228" s="541" t="s">
        <v>985</v>
      </c>
      <c r="C228" s="543" t="s">
        <v>986</v>
      </c>
      <c r="D228" s="544" t="s">
        <v>1098</v>
      </c>
      <c r="E228" s="1032">
        <f>5*52</f>
        <v>260</v>
      </c>
    </row>
    <row r="229" spans="2:5" s="574" customFormat="1" ht="104.25" customHeight="1" x14ac:dyDescent="0.2">
      <c r="B229" s="541" t="s">
        <v>987</v>
      </c>
      <c r="C229" s="543" t="s">
        <v>988</v>
      </c>
      <c r="D229" s="544" t="s">
        <v>1002</v>
      </c>
      <c r="E229" s="1032">
        <f>3*52</f>
        <v>156</v>
      </c>
    </row>
    <row r="230" spans="2:5" s="574" customFormat="1" ht="140.25" customHeight="1" x14ac:dyDescent="0.2">
      <c r="B230" s="541" t="s">
        <v>989</v>
      </c>
      <c r="C230" s="1033" t="s">
        <v>995</v>
      </c>
      <c r="D230" s="544" t="s">
        <v>1003</v>
      </c>
      <c r="E230" s="1034">
        <f>AVERAGE(130*1.2,145*1.2)</f>
        <v>165</v>
      </c>
    </row>
    <row r="231" spans="2:5" s="574" customFormat="1" ht="231" customHeight="1" x14ac:dyDescent="0.2">
      <c r="B231" s="541" t="s">
        <v>1136</v>
      </c>
      <c r="C231" s="543" t="s">
        <v>990</v>
      </c>
      <c r="D231" s="544" t="s">
        <v>1001</v>
      </c>
      <c r="E231" s="1035">
        <f>AVERAGE(264,250,154,204)</f>
        <v>218</v>
      </c>
    </row>
    <row r="232" spans="2:5" s="574" customFormat="1" x14ac:dyDescent="0.2">
      <c r="B232" s="1036" t="s">
        <v>688</v>
      </c>
      <c r="C232" s="1037"/>
      <c r="D232" s="1038"/>
      <c r="E232" s="1039">
        <f>SUM(E228:E231)</f>
        <v>799</v>
      </c>
    </row>
    <row r="233" spans="2:5" s="574" customFormat="1" x14ac:dyDescent="0.2">
      <c r="D233" s="533"/>
      <c r="E233" s="534"/>
    </row>
    <row r="234" spans="2:5" s="574" customFormat="1" x14ac:dyDescent="0.2">
      <c r="B234" s="1031" t="s">
        <v>620</v>
      </c>
      <c r="C234" s="533"/>
      <c r="D234" s="533"/>
      <c r="E234" s="534"/>
    </row>
    <row r="235" spans="2:5" s="574" customFormat="1" x14ac:dyDescent="0.2">
      <c r="B235" s="1031" t="s">
        <v>1099</v>
      </c>
      <c r="C235" s="533"/>
      <c r="D235" s="533"/>
      <c r="E235" s="534"/>
    </row>
    <row r="236" spans="2:5" s="574" customFormat="1" x14ac:dyDescent="0.2">
      <c r="B236" s="1031" t="s">
        <v>991</v>
      </c>
      <c r="C236" s="533"/>
      <c r="D236" s="533"/>
      <c r="E236" s="534"/>
    </row>
    <row r="237" spans="2:5" s="574" customFormat="1" x14ac:dyDescent="0.2">
      <c r="B237" s="1031" t="s">
        <v>996</v>
      </c>
      <c r="C237" s="533"/>
      <c r="D237" s="533"/>
      <c r="E237" s="534"/>
    </row>
    <row r="238" spans="2:5" s="574" customFormat="1" x14ac:dyDescent="0.2">
      <c r="B238" s="1031" t="s">
        <v>992</v>
      </c>
      <c r="C238" s="533"/>
      <c r="D238" s="533"/>
      <c r="E238" s="534"/>
    </row>
    <row r="239" spans="2:5" s="574" customFormat="1" x14ac:dyDescent="0.2">
      <c r="B239" s="1031" t="s">
        <v>997</v>
      </c>
      <c r="C239" s="533"/>
      <c r="D239" s="533"/>
      <c r="E239" s="534"/>
    </row>
    <row r="240" spans="2:5" s="574" customFormat="1" x14ac:dyDescent="0.2">
      <c r="B240" s="1031"/>
      <c r="C240" s="533"/>
      <c r="D240" s="533"/>
      <c r="E240" s="534"/>
    </row>
    <row r="241" spans="2:92" s="574" customFormat="1" ht="18" x14ac:dyDescent="0.25">
      <c r="B241" s="576" t="s">
        <v>796</v>
      </c>
      <c r="C241" s="577"/>
      <c r="D241" s="578"/>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79"/>
      <c r="AL241" s="579"/>
      <c r="AM241" s="579"/>
      <c r="AN241" s="579"/>
      <c r="AO241" s="579"/>
      <c r="AP241" s="579"/>
      <c r="AQ241" s="579"/>
      <c r="AR241" s="579"/>
      <c r="AS241" s="579"/>
      <c r="AT241" s="579"/>
      <c r="AU241" s="579"/>
      <c r="AV241" s="579"/>
      <c r="AW241" s="579"/>
      <c r="AX241" s="579"/>
      <c r="AY241" s="579"/>
      <c r="AZ241" s="579"/>
      <c r="BA241" s="579"/>
      <c r="BB241" s="579"/>
      <c r="BC241" s="579"/>
      <c r="BD241" s="579"/>
      <c r="BE241" s="579"/>
      <c r="BF241" s="579"/>
      <c r="BG241" s="579"/>
      <c r="BH241" s="579"/>
      <c r="BI241" s="579"/>
      <c r="BJ241" s="579"/>
      <c r="BK241" s="579"/>
      <c r="BL241" s="579"/>
      <c r="BM241" s="579"/>
      <c r="BN241" s="579"/>
      <c r="BO241" s="579"/>
      <c r="BP241" s="579"/>
      <c r="BQ241" s="579"/>
      <c r="BR241" s="579"/>
      <c r="BS241" s="579"/>
    </row>
    <row r="242" spans="2:92" s="574" customFormat="1" x14ac:dyDescent="0.2">
      <c r="B242" s="974" t="s">
        <v>867</v>
      </c>
      <c r="C242" s="577"/>
      <c r="D242" s="578"/>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79"/>
      <c r="AL242" s="579"/>
      <c r="AM242" s="579"/>
      <c r="AN242" s="579"/>
      <c r="AO242" s="579"/>
      <c r="AP242" s="579"/>
      <c r="AQ242" s="579"/>
      <c r="AR242" s="579"/>
      <c r="AS242" s="579"/>
      <c r="AT242" s="579"/>
      <c r="AU242" s="579"/>
      <c r="AV242" s="579"/>
      <c r="AW242" s="579"/>
      <c r="AX242" s="579"/>
      <c r="AY242" s="579"/>
      <c r="AZ242" s="579"/>
      <c r="BA242" s="579"/>
      <c r="BB242" s="579"/>
      <c r="BC242" s="579"/>
      <c r="BD242" s="579"/>
      <c r="BE242" s="579"/>
      <c r="BF242" s="579"/>
      <c r="BG242" s="579"/>
      <c r="BH242" s="579"/>
      <c r="BI242" s="579"/>
      <c r="BJ242" s="579"/>
      <c r="BK242" s="579"/>
      <c r="BL242" s="579"/>
      <c r="BM242" s="579"/>
      <c r="BN242" s="579"/>
      <c r="BO242" s="579"/>
      <c r="BP242" s="579"/>
      <c r="BQ242" s="579"/>
      <c r="BR242" s="579"/>
      <c r="BS242" s="579"/>
    </row>
    <row r="243" spans="2:92" s="574" customFormat="1" ht="18" x14ac:dyDescent="0.25">
      <c r="B243" s="580"/>
      <c r="C243" s="577"/>
      <c r="D243" s="578"/>
      <c r="E243" s="581" t="s">
        <v>57</v>
      </c>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79"/>
      <c r="AL243" s="579"/>
      <c r="AM243" s="579"/>
      <c r="AN243" s="579"/>
      <c r="AO243" s="579"/>
      <c r="AP243" s="579"/>
      <c r="AQ243" s="579"/>
      <c r="AR243" s="579"/>
      <c r="AS243" s="579"/>
      <c r="AT243" s="579"/>
      <c r="AU243" s="579"/>
      <c r="AV243" s="579"/>
      <c r="AW243" s="579"/>
      <c r="AX243" s="579"/>
      <c r="AY243" s="579"/>
      <c r="AZ243" s="579"/>
      <c r="BA243" s="579"/>
      <c r="BB243" s="579"/>
      <c r="BC243" s="579"/>
      <c r="BD243" s="579"/>
      <c r="BE243" s="579"/>
      <c r="BF243" s="579"/>
      <c r="BG243" s="579"/>
      <c r="BH243" s="579"/>
      <c r="BI243" s="579"/>
      <c r="BJ243" s="579"/>
      <c r="BK243" s="579"/>
      <c r="BL243" s="579"/>
      <c r="BM243" s="579"/>
      <c r="BN243" s="579"/>
      <c r="BO243" s="579"/>
      <c r="BP243" s="579"/>
      <c r="BQ243" s="579"/>
      <c r="BR243" s="579"/>
      <c r="BS243" s="579"/>
    </row>
    <row r="244" spans="2:92" s="574" customFormat="1" ht="30" x14ac:dyDescent="0.25">
      <c r="B244" s="582"/>
      <c r="C244" s="583" t="s">
        <v>53</v>
      </c>
      <c r="D244" s="584" t="s">
        <v>71</v>
      </c>
      <c r="E244" s="536">
        <v>2017</v>
      </c>
      <c r="F244" s="536">
        <f t="shared" ref="F244:AH244" si="3">E244+1</f>
        <v>2018</v>
      </c>
      <c r="G244" s="536">
        <f t="shared" si="3"/>
        <v>2019</v>
      </c>
      <c r="H244" s="536">
        <f t="shared" si="3"/>
        <v>2020</v>
      </c>
      <c r="I244" s="536">
        <f t="shared" si="3"/>
        <v>2021</v>
      </c>
      <c r="J244" s="536">
        <f t="shared" si="3"/>
        <v>2022</v>
      </c>
      <c r="K244" s="536">
        <f t="shared" si="3"/>
        <v>2023</v>
      </c>
      <c r="L244" s="536">
        <f>K244+1</f>
        <v>2024</v>
      </c>
      <c r="M244" s="536">
        <f t="shared" si="3"/>
        <v>2025</v>
      </c>
      <c r="N244" s="536">
        <f t="shared" si="3"/>
        <v>2026</v>
      </c>
      <c r="O244" s="536">
        <f t="shared" si="3"/>
        <v>2027</v>
      </c>
      <c r="P244" s="536">
        <f t="shared" si="3"/>
        <v>2028</v>
      </c>
      <c r="Q244" s="536">
        <f t="shared" si="3"/>
        <v>2029</v>
      </c>
      <c r="R244" s="536">
        <f t="shared" si="3"/>
        <v>2030</v>
      </c>
      <c r="S244" s="536">
        <f t="shared" si="3"/>
        <v>2031</v>
      </c>
      <c r="T244" s="536">
        <f t="shared" si="3"/>
        <v>2032</v>
      </c>
      <c r="U244" s="536">
        <f t="shared" si="3"/>
        <v>2033</v>
      </c>
      <c r="V244" s="536">
        <f t="shared" si="3"/>
        <v>2034</v>
      </c>
      <c r="W244" s="536">
        <f t="shared" si="3"/>
        <v>2035</v>
      </c>
      <c r="X244" s="536">
        <f t="shared" si="3"/>
        <v>2036</v>
      </c>
      <c r="Y244" s="536">
        <f t="shared" si="3"/>
        <v>2037</v>
      </c>
      <c r="Z244" s="536">
        <f t="shared" si="3"/>
        <v>2038</v>
      </c>
      <c r="AA244" s="536">
        <f t="shared" si="3"/>
        <v>2039</v>
      </c>
      <c r="AB244" s="536">
        <f t="shared" si="3"/>
        <v>2040</v>
      </c>
      <c r="AC244" s="536">
        <f t="shared" si="3"/>
        <v>2041</v>
      </c>
      <c r="AD244" s="536">
        <f t="shared" si="3"/>
        <v>2042</v>
      </c>
      <c r="AE244" s="536">
        <f t="shared" si="3"/>
        <v>2043</v>
      </c>
      <c r="AF244" s="536">
        <f t="shared" si="3"/>
        <v>2044</v>
      </c>
      <c r="AG244" s="536">
        <f t="shared" si="3"/>
        <v>2045</v>
      </c>
      <c r="AH244" s="536">
        <f t="shared" si="3"/>
        <v>2046</v>
      </c>
      <c r="AI244" s="536">
        <f t="shared" ref="AI244" si="4">AH244+1</f>
        <v>2047</v>
      </c>
      <c r="AJ244" s="536">
        <f t="shared" ref="AJ244" si="5">AI244+1</f>
        <v>2048</v>
      </c>
      <c r="AK244" s="536">
        <f t="shared" ref="AK244" si="6">AJ244+1</f>
        <v>2049</v>
      </c>
      <c r="AL244" s="536">
        <f t="shared" ref="AL244" si="7">AK244+1</f>
        <v>2050</v>
      </c>
      <c r="AM244" s="1014"/>
      <c r="AN244" s="1014"/>
      <c r="AO244" s="1014"/>
      <c r="AP244" s="1014"/>
      <c r="AQ244" s="1014"/>
      <c r="AR244" s="1014"/>
      <c r="AS244" s="1014"/>
      <c r="AT244" s="1014"/>
      <c r="AU244" s="1014"/>
      <c r="AV244" s="1014"/>
      <c r="AW244" s="1014"/>
      <c r="AX244" s="1014"/>
      <c r="AY244" s="1014"/>
      <c r="AZ244" s="1014"/>
      <c r="BA244" s="1014"/>
      <c r="BB244" s="1014"/>
      <c r="BC244" s="1014"/>
      <c r="BD244" s="1014"/>
      <c r="BE244" s="1014"/>
      <c r="BF244" s="1014"/>
      <c r="BG244" s="1014"/>
      <c r="BH244" s="1014"/>
      <c r="BI244" s="1014"/>
      <c r="BJ244" s="1014"/>
      <c r="BK244" s="1014"/>
      <c r="BL244" s="1014"/>
      <c r="BM244" s="1014"/>
      <c r="BN244" s="1014"/>
      <c r="BO244" s="1014"/>
      <c r="BP244" s="1014"/>
      <c r="BQ244" s="1014"/>
      <c r="BR244" s="1014"/>
      <c r="BS244" s="1014"/>
      <c r="BT244" s="1014"/>
      <c r="BU244" s="1014"/>
      <c r="BV244" s="1014"/>
      <c r="BW244" s="1014"/>
      <c r="BX244" s="1014"/>
      <c r="BY244" s="1014"/>
      <c r="BZ244" s="1014"/>
      <c r="CA244" s="1014"/>
      <c r="CB244" s="1014"/>
      <c r="CC244" s="1014"/>
      <c r="CD244" s="1014"/>
      <c r="CE244" s="1014"/>
      <c r="CF244" s="1014"/>
      <c r="CG244" s="1014"/>
      <c r="CH244" s="1014"/>
      <c r="CI244" s="1014"/>
      <c r="CJ244" s="1014"/>
      <c r="CK244" s="878"/>
      <c r="CL244" s="878"/>
      <c r="CM244" s="878"/>
      <c r="CN244" s="878"/>
    </row>
    <row r="245" spans="2:92" s="764" customFormat="1" ht="28.5" x14ac:dyDescent="0.2">
      <c r="B245" s="585" t="s">
        <v>795</v>
      </c>
      <c r="C245" s="766" t="s">
        <v>619</v>
      </c>
      <c r="D245" s="763"/>
      <c r="E245" s="763">
        <v>65.109083394162681</v>
      </c>
      <c r="F245" s="763">
        <v>66.085719645075116</v>
      </c>
      <c r="G245" s="763">
        <v>67.077005439751247</v>
      </c>
      <c r="H245" s="763">
        <v>68.083160521347509</v>
      </c>
      <c r="I245" s="763">
        <v>69.217879863369959</v>
      </c>
      <c r="J245" s="763">
        <v>70.352599205392423</v>
      </c>
      <c r="K245" s="763">
        <v>71.487318547414887</v>
      </c>
      <c r="L245" s="763">
        <v>72.622037889437337</v>
      </c>
      <c r="M245" s="763">
        <v>73.756757231459801</v>
      </c>
      <c r="N245" s="763">
        <v>74.891476573482251</v>
      </c>
      <c r="O245" s="763">
        <v>76.026195915504715</v>
      </c>
      <c r="P245" s="763">
        <v>77.160915257527179</v>
      </c>
      <c r="Q245" s="763">
        <v>78.295634599549629</v>
      </c>
      <c r="R245" s="763">
        <v>79.430353941572093</v>
      </c>
      <c r="S245" s="763">
        <v>86.806029664718068</v>
      </c>
      <c r="T245" s="763">
        <v>94.181705387864056</v>
      </c>
      <c r="U245" s="763">
        <v>101.55738111101003</v>
      </c>
      <c r="V245" s="763">
        <v>108.93305683415601</v>
      </c>
      <c r="W245" s="763">
        <v>116.30873255730199</v>
      </c>
      <c r="X245" s="763">
        <v>123.68440828044797</v>
      </c>
      <c r="Y245" s="763">
        <v>131.06008400359394</v>
      </c>
      <c r="Z245" s="763">
        <v>138.43575972673992</v>
      </c>
      <c r="AA245" s="763">
        <v>145.81143544988592</v>
      </c>
      <c r="AB245" s="763">
        <v>153.18711117303189</v>
      </c>
      <c r="AC245" s="763">
        <v>160.56278689617787</v>
      </c>
      <c r="AD245" s="763">
        <v>167.93846261932384</v>
      </c>
      <c r="AE245" s="763">
        <v>175.31413834246982</v>
      </c>
      <c r="AF245" s="763">
        <v>182.68981406561582</v>
      </c>
      <c r="AG245" s="763">
        <v>190.06548978876179</v>
      </c>
      <c r="AH245" s="763">
        <v>197.44116551190777</v>
      </c>
      <c r="AI245" s="763">
        <v>204.81684123505374</v>
      </c>
      <c r="AJ245" s="765">
        <v>212.19251695819972</v>
      </c>
      <c r="AK245" s="763">
        <v>219.56819268134572</v>
      </c>
      <c r="AL245" s="763">
        <v>226.9438684044917</v>
      </c>
      <c r="AM245" s="763"/>
      <c r="AN245" s="763"/>
      <c r="AO245" s="763"/>
      <c r="AP245" s="763"/>
      <c r="AQ245" s="763"/>
      <c r="AR245" s="763"/>
      <c r="AS245" s="763"/>
      <c r="AT245" s="763"/>
      <c r="AU245" s="763"/>
      <c r="AV245" s="763"/>
      <c r="AW245" s="763"/>
      <c r="AX245" s="763"/>
      <c r="AY245" s="763"/>
      <c r="AZ245" s="763"/>
      <c r="BA245" s="763"/>
      <c r="BB245" s="763"/>
      <c r="BC245" s="763"/>
      <c r="BD245" s="763"/>
      <c r="BE245" s="763"/>
      <c r="BF245" s="763"/>
      <c r="BG245" s="763"/>
      <c r="BH245" s="763"/>
      <c r="BI245" s="763"/>
      <c r="BJ245" s="763"/>
      <c r="BK245" s="763"/>
      <c r="BL245" s="763"/>
      <c r="BM245" s="763"/>
      <c r="BN245" s="763"/>
      <c r="BO245" s="763"/>
      <c r="BP245" s="763"/>
      <c r="BQ245" s="763"/>
      <c r="BR245" s="763"/>
      <c r="BS245" s="763"/>
      <c r="BT245" s="763"/>
      <c r="BU245" s="763"/>
      <c r="BV245" s="763"/>
      <c r="BW245" s="763"/>
      <c r="BX245" s="763"/>
      <c r="BY245" s="763"/>
      <c r="BZ245" s="763"/>
      <c r="CA245" s="763"/>
      <c r="CB245" s="763"/>
      <c r="CC245" s="763"/>
      <c r="CD245" s="763"/>
      <c r="CE245" s="763"/>
      <c r="CF245" s="763"/>
      <c r="CG245" s="763"/>
      <c r="CH245" s="763"/>
      <c r="CI245" s="763"/>
      <c r="CJ245" s="763"/>
      <c r="CK245" s="763"/>
      <c r="CL245" s="763"/>
      <c r="CM245" s="1015"/>
      <c r="CN245" s="1015"/>
    </row>
    <row r="246" spans="2:92" s="574" customFormat="1" x14ac:dyDescent="0.2">
      <c r="B246" s="579"/>
      <c r="C246" s="577"/>
      <c r="D246" s="553"/>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6"/>
      <c r="AL246" s="586"/>
      <c r="AM246" s="586"/>
      <c r="AN246" s="586"/>
      <c r="AO246" s="586"/>
      <c r="AP246" s="586"/>
      <c r="AQ246" s="586"/>
      <c r="AR246" s="586"/>
      <c r="AS246" s="586"/>
      <c r="AT246" s="586"/>
      <c r="AU246" s="586"/>
      <c r="AV246" s="586"/>
      <c r="AW246" s="586"/>
      <c r="AX246" s="586"/>
      <c r="AY246" s="586"/>
      <c r="AZ246" s="586"/>
      <c r="BA246" s="586"/>
      <c r="BB246" s="586"/>
      <c r="BC246" s="586"/>
      <c r="BD246" s="586"/>
      <c r="BE246" s="586"/>
      <c r="BF246" s="586"/>
      <c r="BG246" s="586"/>
      <c r="BH246" s="586"/>
      <c r="BI246" s="586"/>
      <c r="BJ246" s="586"/>
      <c r="BK246" s="586"/>
      <c r="BL246" s="586"/>
      <c r="BM246" s="586"/>
      <c r="BN246" s="586"/>
      <c r="BO246" s="586"/>
      <c r="BP246" s="586"/>
      <c r="BQ246" s="586"/>
      <c r="BR246" s="586"/>
      <c r="BS246" s="586"/>
    </row>
    <row r="247" spans="2:92" s="574" customFormat="1" ht="18.75" x14ac:dyDescent="0.35">
      <c r="B247" s="579" t="s">
        <v>298</v>
      </c>
      <c r="C247" s="577"/>
      <c r="D247" s="553"/>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6"/>
      <c r="AL247" s="586"/>
      <c r="AM247" s="586"/>
      <c r="AN247" s="586"/>
      <c r="AO247" s="586"/>
      <c r="AP247" s="586"/>
      <c r="AQ247" s="586"/>
      <c r="AR247" s="586"/>
      <c r="AS247" s="586"/>
      <c r="AT247" s="586"/>
      <c r="AU247" s="586"/>
      <c r="AV247" s="586"/>
      <c r="AW247" s="586"/>
      <c r="AX247" s="586"/>
      <c r="AY247" s="586"/>
      <c r="AZ247" s="586"/>
      <c r="BA247" s="586"/>
      <c r="BB247" s="586"/>
      <c r="BC247" s="586"/>
      <c r="BD247" s="586"/>
      <c r="BE247" s="586"/>
      <c r="BF247" s="586"/>
      <c r="BG247" s="586"/>
      <c r="BH247" s="586"/>
      <c r="BI247" s="586"/>
      <c r="BJ247" s="586"/>
      <c r="BK247" s="586"/>
      <c r="BL247" s="586"/>
      <c r="BM247" s="586"/>
      <c r="BN247" s="586"/>
      <c r="BO247" s="586"/>
      <c r="BP247" s="586"/>
      <c r="BQ247" s="586"/>
      <c r="BR247" s="586"/>
      <c r="BS247" s="586"/>
    </row>
    <row r="248" spans="2:92" s="574" customFormat="1" x14ac:dyDescent="0.2">
      <c r="B248" s="579" t="s">
        <v>1137</v>
      </c>
      <c r="C248" s="577"/>
      <c r="D248" s="553"/>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6"/>
      <c r="AL248" s="586"/>
      <c r="AM248" s="586"/>
      <c r="AN248" s="586"/>
      <c r="AO248" s="586"/>
      <c r="AP248" s="586"/>
      <c r="AQ248" s="586"/>
      <c r="AR248" s="586"/>
      <c r="AS248" s="586"/>
      <c r="AT248" s="586"/>
      <c r="AU248" s="586"/>
      <c r="AV248" s="586"/>
      <c r="AW248" s="586"/>
      <c r="AX248" s="586"/>
      <c r="AY248" s="586"/>
      <c r="AZ248" s="586"/>
      <c r="BA248" s="586"/>
      <c r="BB248" s="586"/>
      <c r="BC248" s="586"/>
      <c r="BD248" s="586"/>
      <c r="BE248" s="586"/>
      <c r="BF248" s="586"/>
      <c r="BG248" s="586"/>
      <c r="BH248" s="586"/>
      <c r="BI248" s="586"/>
      <c r="BJ248" s="586"/>
      <c r="BK248" s="586"/>
      <c r="BL248" s="586"/>
      <c r="BM248" s="586"/>
      <c r="BN248" s="586"/>
      <c r="BO248" s="586"/>
      <c r="BP248" s="586"/>
      <c r="BQ248" s="586"/>
      <c r="BR248" s="586"/>
      <c r="BS248" s="586"/>
    </row>
    <row r="249" spans="2:92" s="574" customFormat="1" x14ac:dyDescent="0.2">
      <c r="B249" s="579"/>
      <c r="C249" s="577"/>
      <c r="D249" s="553"/>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6"/>
      <c r="AL249" s="586"/>
      <c r="AM249" s="586"/>
      <c r="AN249" s="586"/>
      <c r="AO249" s="586"/>
      <c r="AP249" s="586"/>
      <c r="AQ249" s="586"/>
      <c r="AR249" s="586"/>
      <c r="AS249" s="586"/>
      <c r="AT249" s="586"/>
      <c r="AU249" s="586"/>
      <c r="AV249" s="586"/>
      <c r="AW249" s="586"/>
      <c r="AX249" s="586"/>
      <c r="AY249" s="586"/>
      <c r="AZ249" s="586"/>
      <c r="BA249" s="586"/>
      <c r="BB249" s="586"/>
      <c r="BC249" s="586"/>
      <c r="BD249" s="586"/>
      <c r="BE249" s="586"/>
      <c r="BF249" s="586"/>
      <c r="BG249" s="586"/>
      <c r="BH249" s="586"/>
      <c r="BI249" s="586"/>
      <c r="BJ249" s="586"/>
      <c r="BK249" s="586"/>
      <c r="BL249" s="586"/>
      <c r="BM249" s="586"/>
      <c r="BN249" s="586"/>
      <c r="BO249" s="586"/>
      <c r="BP249" s="586"/>
      <c r="BQ249" s="586"/>
      <c r="BR249" s="586"/>
      <c r="BS249" s="586"/>
    </row>
    <row r="250" spans="2:92" s="574" customFormat="1" x14ac:dyDescent="0.2">
      <c r="B250" s="579" t="s">
        <v>617</v>
      </c>
      <c r="C250" s="577"/>
      <c r="D250" s="553"/>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6"/>
      <c r="AL250" s="586"/>
      <c r="AM250" s="586"/>
      <c r="AN250" s="586"/>
      <c r="AO250" s="586"/>
      <c r="AP250" s="586"/>
      <c r="AQ250" s="586"/>
      <c r="AR250" s="586"/>
      <c r="AS250" s="586"/>
      <c r="AT250" s="586"/>
      <c r="AU250" s="586"/>
      <c r="AV250" s="586"/>
      <c r="AW250" s="586"/>
      <c r="AX250" s="586"/>
      <c r="AY250" s="586"/>
      <c r="AZ250" s="586"/>
      <c r="BA250" s="586"/>
      <c r="BB250" s="586"/>
      <c r="BC250" s="586"/>
      <c r="BD250" s="586"/>
      <c r="BE250" s="586"/>
      <c r="BF250" s="586"/>
      <c r="BG250" s="586"/>
      <c r="BH250" s="586"/>
      <c r="BI250" s="586"/>
      <c r="BJ250" s="586"/>
      <c r="BK250" s="586"/>
      <c r="BL250" s="586"/>
      <c r="BM250" s="586"/>
      <c r="BN250" s="586"/>
      <c r="BO250" s="586"/>
      <c r="BP250" s="586"/>
      <c r="BQ250" s="586"/>
      <c r="BR250" s="586"/>
      <c r="BS250" s="586"/>
    </row>
    <row r="251" spans="2:92" s="574" customFormat="1" x14ac:dyDescent="0.2">
      <c r="B251" s="767" t="s">
        <v>618</v>
      </c>
      <c r="C251" s="577"/>
      <c r="D251" s="553"/>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6"/>
      <c r="AL251" s="586"/>
      <c r="AM251" s="586"/>
      <c r="AN251" s="586"/>
      <c r="AO251" s="586"/>
      <c r="AP251" s="586"/>
      <c r="AQ251" s="586"/>
      <c r="AR251" s="586"/>
      <c r="AS251" s="586"/>
      <c r="AT251" s="586"/>
      <c r="AU251" s="586"/>
      <c r="AV251" s="586"/>
      <c r="AW251" s="586"/>
      <c r="AX251" s="586"/>
      <c r="AY251" s="586"/>
      <c r="AZ251" s="586"/>
      <c r="BA251" s="586"/>
      <c r="BB251" s="586"/>
      <c r="BC251" s="586"/>
      <c r="BD251" s="586"/>
      <c r="BE251" s="586"/>
      <c r="BF251" s="586"/>
      <c r="BG251" s="586"/>
      <c r="BH251" s="586"/>
      <c r="BI251" s="586"/>
      <c r="BJ251" s="586"/>
      <c r="BK251" s="586"/>
      <c r="BL251" s="586"/>
      <c r="BM251" s="586"/>
      <c r="BN251" s="586"/>
      <c r="BO251" s="586"/>
      <c r="BP251" s="586"/>
      <c r="BQ251" s="586"/>
      <c r="BR251" s="586"/>
      <c r="BS251" s="586"/>
    </row>
    <row r="252" spans="2:92" s="574" customFormat="1" x14ac:dyDescent="0.2">
      <c r="B252" s="579"/>
      <c r="C252" s="577"/>
      <c r="D252" s="553"/>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6"/>
      <c r="AL252" s="586"/>
      <c r="AM252" s="586"/>
      <c r="AN252" s="586"/>
      <c r="AO252" s="586"/>
      <c r="AP252" s="586"/>
      <c r="AQ252" s="586"/>
      <c r="AR252" s="586"/>
      <c r="AS252" s="586"/>
      <c r="AT252" s="586"/>
      <c r="AU252" s="586"/>
      <c r="AV252" s="586"/>
      <c r="AW252" s="586"/>
      <c r="AX252" s="586"/>
      <c r="AY252" s="586"/>
      <c r="AZ252" s="586"/>
      <c r="BA252" s="586"/>
      <c r="BB252" s="586"/>
      <c r="BC252" s="586"/>
      <c r="BD252" s="586"/>
      <c r="BE252" s="586"/>
      <c r="BF252" s="586"/>
      <c r="BG252" s="586"/>
      <c r="BH252" s="586"/>
      <c r="BI252" s="586"/>
      <c r="BJ252" s="586"/>
      <c r="BK252" s="586"/>
      <c r="BL252" s="586"/>
      <c r="BM252" s="586"/>
      <c r="BN252" s="586"/>
      <c r="BO252" s="586"/>
      <c r="BP252" s="586"/>
      <c r="BQ252" s="586"/>
      <c r="BR252" s="586"/>
      <c r="BS252" s="586"/>
    </row>
    <row r="253" spans="2:92" s="574" customFormat="1" ht="18" x14ac:dyDescent="0.25">
      <c r="B253" s="532" t="s">
        <v>169</v>
      </c>
      <c r="C253" s="577"/>
      <c r="D253" s="577"/>
      <c r="E253" s="579"/>
      <c r="F253" s="579"/>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6"/>
      <c r="AL253" s="586"/>
      <c r="AM253" s="586"/>
      <c r="AN253" s="586"/>
      <c r="AO253" s="586"/>
      <c r="AP253" s="586"/>
      <c r="AQ253" s="586"/>
      <c r="AR253" s="586"/>
      <c r="AS253" s="586"/>
      <c r="AT253" s="586"/>
      <c r="AU253" s="586"/>
      <c r="AV253" s="586"/>
      <c r="AW253" s="586"/>
      <c r="AX253" s="586"/>
      <c r="AY253" s="586"/>
      <c r="AZ253" s="586"/>
      <c r="BA253" s="586"/>
      <c r="BB253" s="586"/>
      <c r="BC253" s="586"/>
      <c r="BD253" s="586"/>
      <c r="BE253" s="586"/>
      <c r="BF253" s="586"/>
      <c r="BG253" s="586"/>
      <c r="BH253" s="586"/>
      <c r="BI253" s="586"/>
      <c r="BJ253" s="586"/>
      <c r="BK253" s="586"/>
      <c r="BL253" s="586"/>
      <c r="BM253" s="586"/>
      <c r="BN253" s="586"/>
      <c r="BO253" s="586"/>
      <c r="BP253" s="586"/>
      <c r="BQ253" s="586"/>
      <c r="BR253" s="586"/>
      <c r="BS253" s="586"/>
    </row>
    <row r="254" spans="2:92" s="574" customFormat="1" x14ac:dyDescent="0.2">
      <c r="B254" s="974" t="s">
        <v>866</v>
      </c>
      <c r="C254" s="577"/>
      <c r="D254" s="577"/>
      <c r="E254" s="579"/>
      <c r="F254" s="579"/>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6"/>
      <c r="AL254" s="586"/>
      <c r="AM254" s="586"/>
      <c r="AN254" s="586"/>
      <c r="AO254" s="586"/>
      <c r="AP254" s="586"/>
      <c r="AQ254" s="586"/>
      <c r="AR254" s="586"/>
      <c r="AS254" s="586"/>
      <c r="AT254" s="586"/>
      <c r="AU254" s="586"/>
      <c r="AV254" s="586"/>
      <c r="AW254" s="586"/>
      <c r="AX254" s="586"/>
      <c r="AY254" s="586"/>
      <c r="AZ254" s="586"/>
      <c r="BA254" s="586"/>
      <c r="BB254" s="586"/>
      <c r="BC254" s="586"/>
      <c r="BD254" s="586"/>
      <c r="BE254" s="586"/>
      <c r="BF254" s="586"/>
      <c r="BG254" s="586"/>
      <c r="BH254" s="586"/>
      <c r="BI254" s="586"/>
      <c r="BJ254" s="586"/>
      <c r="BK254" s="586"/>
      <c r="BL254" s="586"/>
      <c r="BM254" s="586"/>
      <c r="BN254" s="586"/>
      <c r="BO254" s="586"/>
      <c r="BP254" s="586"/>
      <c r="BQ254" s="586"/>
      <c r="BR254" s="586"/>
      <c r="BS254" s="586"/>
    </row>
    <row r="255" spans="2:92" s="574" customFormat="1" x14ac:dyDescent="0.2">
      <c r="B255" s="579"/>
      <c r="C255" s="577"/>
      <c r="D255" s="577"/>
      <c r="E255" s="579"/>
      <c r="F255" s="579"/>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6"/>
      <c r="AL255" s="586"/>
      <c r="AM255" s="586"/>
      <c r="AN255" s="586"/>
      <c r="AO255" s="586"/>
      <c r="AP255" s="586"/>
      <c r="AQ255" s="586"/>
      <c r="AR255" s="586"/>
      <c r="AS255" s="586"/>
      <c r="AT255" s="586"/>
      <c r="AU255" s="586"/>
      <c r="AV255" s="586"/>
      <c r="AW255" s="586"/>
      <c r="AX255" s="586"/>
      <c r="AY255" s="586"/>
      <c r="AZ255" s="586"/>
      <c r="BA255" s="586"/>
      <c r="BB255" s="586"/>
      <c r="BC255" s="586"/>
      <c r="BD255" s="586"/>
      <c r="BE255" s="586"/>
      <c r="BF255" s="586"/>
      <c r="BG255" s="586"/>
      <c r="BH255" s="586"/>
      <c r="BI255" s="586"/>
      <c r="BJ255" s="586"/>
      <c r="BK255" s="586"/>
      <c r="BL255" s="586"/>
      <c r="BM255" s="586"/>
      <c r="BN255" s="586"/>
      <c r="BO255" s="586"/>
      <c r="BP255" s="586"/>
      <c r="BQ255" s="586"/>
      <c r="BR255" s="586"/>
      <c r="BS255" s="586"/>
    </row>
    <row r="256" spans="2:92" s="574" customFormat="1" ht="15.75" x14ac:dyDescent="0.25">
      <c r="B256" s="572" t="s">
        <v>100</v>
      </c>
      <c r="C256" s="553"/>
      <c r="D256" s="553"/>
      <c r="E256" s="579"/>
      <c r="F256" s="579"/>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6"/>
      <c r="AL256" s="586"/>
      <c r="AM256" s="586"/>
      <c r="AN256" s="586"/>
      <c r="AO256" s="586"/>
      <c r="AP256" s="586"/>
      <c r="AQ256" s="586"/>
      <c r="AR256" s="586"/>
      <c r="AS256" s="586"/>
      <c r="AT256" s="586"/>
      <c r="AU256" s="586"/>
      <c r="AV256" s="586"/>
      <c r="AW256" s="586"/>
      <c r="AX256" s="586"/>
      <c r="AY256" s="586"/>
      <c r="AZ256" s="586"/>
      <c r="BA256" s="586"/>
      <c r="BB256" s="586"/>
      <c r="BC256" s="586"/>
      <c r="BD256" s="586"/>
      <c r="BE256" s="586"/>
      <c r="BF256" s="586"/>
      <c r="BG256" s="586"/>
      <c r="BH256" s="586"/>
      <c r="BI256" s="586"/>
      <c r="BJ256" s="586"/>
      <c r="BK256" s="586"/>
      <c r="BL256" s="586"/>
      <c r="BM256" s="586"/>
      <c r="BN256" s="586"/>
      <c r="BO256" s="586"/>
      <c r="BP256" s="586"/>
      <c r="BQ256" s="586"/>
      <c r="BR256" s="586"/>
      <c r="BS256" s="586"/>
    </row>
    <row r="257" spans="2:71" s="574" customFormat="1" x14ac:dyDescent="0.2">
      <c r="B257" s="579"/>
      <c r="C257" s="553"/>
      <c r="D257" s="553"/>
      <c r="E257" s="579"/>
      <c r="F257" s="579"/>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6"/>
      <c r="AL257" s="586"/>
      <c r="AM257" s="586"/>
      <c r="AN257" s="586"/>
      <c r="AO257" s="586"/>
      <c r="AP257" s="586"/>
      <c r="AQ257" s="586"/>
      <c r="AR257" s="586"/>
      <c r="AS257" s="586"/>
      <c r="AT257" s="586"/>
      <c r="AU257" s="586"/>
      <c r="AV257" s="586"/>
      <c r="AW257" s="586"/>
      <c r="AX257" s="586"/>
      <c r="AY257" s="586"/>
      <c r="AZ257" s="586"/>
      <c r="BA257" s="586"/>
      <c r="BB257" s="586"/>
      <c r="BC257" s="586"/>
      <c r="BD257" s="586"/>
      <c r="BE257" s="586"/>
      <c r="BF257" s="586"/>
      <c r="BG257" s="586"/>
      <c r="BH257" s="586"/>
      <c r="BI257" s="586"/>
      <c r="BJ257" s="586"/>
      <c r="BK257" s="586"/>
      <c r="BL257" s="586"/>
      <c r="BM257" s="586"/>
      <c r="BN257" s="586"/>
      <c r="BO257" s="586"/>
      <c r="BP257" s="586"/>
      <c r="BQ257" s="586"/>
      <c r="BR257" s="586"/>
      <c r="BS257" s="586"/>
    </row>
    <row r="258" spans="2:71" s="574" customFormat="1" x14ac:dyDescent="0.2">
      <c r="B258" s="579" t="s">
        <v>101</v>
      </c>
      <c r="C258" s="553"/>
      <c r="D258" s="553"/>
      <c r="E258" s="579"/>
      <c r="F258" s="579"/>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6"/>
      <c r="AL258" s="586"/>
      <c r="AM258" s="586"/>
      <c r="AN258" s="586"/>
      <c r="AO258" s="586"/>
      <c r="AP258" s="586"/>
      <c r="AQ258" s="586"/>
      <c r="AR258" s="586"/>
      <c r="AS258" s="586"/>
      <c r="AT258" s="586"/>
      <c r="AU258" s="586"/>
      <c r="AV258" s="586"/>
      <c r="AW258" s="586"/>
      <c r="AX258" s="586"/>
      <c r="AY258" s="586"/>
      <c r="AZ258" s="586"/>
      <c r="BA258" s="586"/>
      <c r="BB258" s="586"/>
      <c r="BC258" s="586"/>
      <c r="BD258" s="586"/>
      <c r="BE258" s="586"/>
      <c r="BF258" s="586"/>
      <c r="BG258" s="586"/>
      <c r="BH258" s="586"/>
      <c r="BI258" s="586"/>
      <c r="BJ258" s="586"/>
      <c r="BK258" s="586"/>
      <c r="BL258" s="586"/>
      <c r="BM258" s="586"/>
      <c r="BN258" s="586"/>
      <c r="BO258" s="586"/>
      <c r="BP258" s="586"/>
      <c r="BQ258" s="586"/>
      <c r="BR258" s="586"/>
      <c r="BS258" s="586"/>
    </row>
    <row r="259" spans="2:71" s="574" customFormat="1" x14ac:dyDescent="0.2">
      <c r="B259" s="579"/>
      <c r="C259" s="553"/>
      <c r="D259" s="553"/>
      <c r="E259" s="579"/>
      <c r="F259" s="579"/>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6"/>
      <c r="AL259" s="586"/>
      <c r="AM259" s="586"/>
      <c r="AN259" s="586"/>
      <c r="AO259" s="586"/>
      <c r="AP259" s="586"/>
      <c r="AQ259" s="586"/>
      <c r="AR259" s="586"/>
      <c r="AS259" s="586"/>
      <c r="AT259" s="586"/>
      <c r="AU259" s="586"/>
      <c r="AV259" s="586"/>
      <c r="AW259" s="586"/>
      <c r="AX259" s="586"/>
      <c r="AY259" s="586"/>
      <c r="AZ259" s="586"/>
      <c r="BA259" s="586"/>
      <c r="BB259" s="586"/>
      <c r="BC259" s="586"/>
      <c r="BD259" s="586"/>
      <c r="BE259" s="586"/>
      <c r="BF259" s="586"/>
      <c r="BG259" s="586"/>
      <c r="BH259" s="586"/>
      <c r="BI259" s="586"/>
      <c r="BJ259" s="586"/>
      <c r="BK259" s="586"/>
      <c r="BL259" s="586"/>
      <c r="BM259" s="586"/>
      <c r="BN259" s="586"/>
      <c r="BO259" s="586"/>
      <c r="BP259" s="586"/>
      <c r="BQ259" s="586"/>
      <c r="BR259" s="586"/>
      <c r="BS259" s="586"/>
    </row>
    <row r="260" spans="2:71" s="574" customFormat="1" ht="15.75" x14ac:dyDescent="0.25">
      <c r="B260" s="536"/>
      <c r="C260" s="537" t="s">
        <v>60</v>
      </c>
      <c r="D260" s="538" t="s">
        <v>248</v>
      </c>
      <c r="E260" s="554" t="s">
        <v>302</v>
      </c>
      <c r="F260" s="579"/>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6"/>
      <c r="AL260" s="586"/>
      <c r="AM260" s="586"/>
      <c r="AN260" s="586"/>
      <c r="AO260" s="586"/>
      <c r="AP260" s="586"/>
      <c r="AQ260" s="586"/>
      <c r="AR260" s="586"/>
      <c r="AS260" s="586"/>
      <c r="AT260" s="586"/>
      <c r="AU260" s="586"/>
      <c r="AV260" s="586"/>
      <c r="AW260" s="586"/>
      <c r="AX260" s="586"/>
      <c r="AY260" s="586"/>
      <c r="AZ260" s="586"/>
      <c r="BA260" s="586"/>
      <c r="BB260" s="586"/>
      <c r="BC260" s="586"/>
      <c r="BD260" s="586"/>
      <c r="BE260" s="586"/>
      <c r="BF260" s="586"/>
      <c r="BG260" s="586"/>
      <c r="BH260" s="586"/>
      <c r="BI260" s="586"/>
      <c r="BJ260" s="586"/>
      <c r="BK260" s="586"/>
      <c r="BL260" s="586"/>
      <c r="BM260" s="586"/>
      <c r="BN260" s="586"/>
      <c r="BO260" s="586"/>
      <c r="BP260" s="586"/>
      <c r="BQ260" s="586"/>
      <c r="BR260" s="586"/>
      <c r="BS260" s="586"/>
    </row>
    <row r="261" spans="2:71" s="574" customFormat="1" ht="30" x14ac:dyDescent="0.2">
      <c r="B261" s="579" t="s">
        <v>299</v>
      </c>
      <c r="C261" s="593" t="s">
        <v>1144</v>
      </c>
      <c r="D261" s="540"/>
      <c r="E261" s="587">
        <v>-50</v>
      </c>
      <c r="F261" s="579"/>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6"/>
      <c r="AL261" s="586"/>
      <c r="AM261" s="586"/>
      <c r="AN261" s="586"/>
      <c r="AO261" s="586"/>
      <c r="AP261" s="586"/>
      <c r="AQ261" s="586"/>
      <c r="AR261" s="586"/>
      <c r="AS261" s="586"/>
      <c r="AT261" s="586"/>
      <c r="AU261" s="586"/>
      <c r="AV261" s="586"/>
      <c r="AW261" s="586"/>
      <c r="AX261" s="586"/>
      <c r="AY261" s="586"/>
      <c r="AZ261" s="586"/>
      <c r="BA261" s="586"/>
      <c r="BB261" s="586"/>
      <c r="BC261" s="586"/>
      <c r="BD261" s="586"/>
      <c r="BE261" s="586"/>
      <c r="BF261" s="586"/>
      <c r="BG261" s="586"/>
      <c r="BH261" s="586"/>
      <c r="BI261" s="586"/>
      <c r="BJ261" s="586"/>
      <c r="BK261" s="586"/>
      <c r="BL261" s="586"/>
      <c r="BM261" s="586"/>
      <c r="BN261" s="586"/>
      <c r="BO261" s="586"/>
      <c r="BP261" s="586"/>
      <c r="BQ261" s="586"/>
      <c r="BR261" s="586"/>
      <c r="BS261" s="586"/>
    </row>
    <row r="262" spans="2:71" s="574" customFormat="1" ht="30" x14ac:dyDescent="0.2">
      <c r="B262" s="579" t="s">
        <v>300</v>
      </c>
      <c r="C262" s="588" t="s">
        <v>1144</v>
      </c>
      <c r="D262" s="544"/>
      <c r="E262" s="587">
        <v>-150</v>
      </c>
      <c r="F262" s="579"/>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6"/>
      <c r="AL262" s="586"/>
      <c r="AM262" s="586"/>
      <c r="AN262" s="586"/>
      <c r="AO262" s="586"/>
      <c r="AP262" s="586"/>
      <c r="AQ262" s="586"/>
      <c r="AR262" s="586"/>
      <c r="AS262" s="586"/>
      <c r="AT262" s="586"/>
      <c r="AU262" s="586"/>
      <c r="AV262" s="586"/>
      <c r="AW262" s="586"/>
      <c r="AX262" s="586"/>
      <c r="AY262" s="586"/>
      <c r="AZ262" s="586"/>
      <c r="BA262" s="586"/>
      <c r="BB262" s="586"/>
      <c r="BC262" s="586"/>
      <c r="BD262" s="586"/>
      <c r="BE262" s="586"/>
      <c r="BF262" s="586"/>
      <c r="BG262" s="586"/>
      <c r="BH262" s="586"/>
      <c r="BI262" s="586"/>
      <c r="BJ262" s="586"/>
      <c r="BK262" s="586"/>
      <c r="BL262" s="586"/>
      <c r="BM262" s="586"/>
      <c r="BN262" s="586"/>
      <c r="BO262" s="586"/>
      <c r="BP262" s="586"/>
      <c r="BQ262" s="586"/>
      <c r="BR262" s="586"/>
      <c r="BS262" s="586"/>
    </row>
    <row r="263" spans="2:71" s="574" customFormat="1" ht="30" x14ac:dyDescent="0.2">
      <c r="B263" s="579" t="s">
        <v>301</v>
      </c>
      <c r="C263" s="588" t="s">
        <v>1144</v>
      </c>
      <c r="D263" s="544"/>
      <c r="E263" s="587">
        <v>-350</v>
      </c>
      <c r="F263" s="579"/>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6"/>
      <c r="AL263" s="586"/>
      <c r="AM263" s="586"/>
      <c r="AN263" s="586"/>
      <c r="AO263" s="586"/>
      <c r="AP263" s="586"/>
      <c r="AQ263" s="586"/>
      <c r="AR263" s="586"/>
      <c r="AS263" s="586"/>
      <c r="AT263" s="586"/>
      <c r="AU263" s="586"/>
      <c r="AV263" s="586"/>
      <c r="AW263" s="586"/>
      <c r="AX263" s="586"/>
      <c r="AY263" s="586"/>
      <c r="AZ263" s="586"/>
      <c r="BA263" s="586"/>
      <c r="BB263" s="586"/>
      <c r="BC263" s="586"/>
      <c r="BD263" s="586"/>
      <c r="BE263" s="586"/>
      <c r="BF263" s="586"/>
      <c r="BG263" s="586"/>
      <c r="BH263" s="586"/>
      <c r="BI263" s="586"/>
      <c r="BJ263" s="586"/>
      <c r="BK263" s="586"/>
      <c r="BL263" s="586"/>
      <c r="BM263" s="586"/>
      <c r="BN263" s="586"/>
      <c r="BO263" s="586"/>
      <c r="BP263" s="586"/>
      <c r="BQ263" s="586"/>
      <c r="BR263" s="586"/>
      <c r="BS263" s="586"/>
    </row>
    <row r="264" spans="2:71" s="574" customFormat="1" x14ac:dyDescent="0.2">
      <c r="B264" s="579"/>
      <c r="C264" s="984"/>
      <c r="D264" s="533"/>
      <c r="E264" s="587"/>
      <c r="F264" s="579"/>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6"/>
      <c r="AL264" s="586"/>
      <c r="AM264" s="586"/>
      <c r="AN264" s="586"/>
      <c r="AO264" s="586"/>
      <c r="AP264" s="586"/>
      <c r="AQ264" s="586"/>
      <c r="AR264" s="586"/>
      <c r="AS264" s="586"/>
      <c r="AT264" s="586"/>
      <c r="AU264" s="586"/>
      <c r="AV264" s="586"/>
      <c r="AW264" s="586"/>
      <c r="AX264" s="586"/>
      <c r="AY264" s="586"/>
      <c r="AZ264" s="586"/>
      <c r="BA264" s="586"/>
      <c r="BB264" s="586"/>
      <c r="BC264" s="586"/>
      <c r="BD264" s="586"/>
      <c r="BE264" s="586"/>
      <c r="BF264" s="586"/>
      <c r="BG264" s="586"/>
      <c r="BH264" s="586"/>
      <c r="BI264" s="586"/>
      <c r="BJ264" s="586"/>
      <c r="BK264" s="586"/>
      <c r="BL264" s="586"/>
      <c r="BM264" s="586"/>
      <c r="BN264" s="586"/>
      <c r="BO264" s="586"/>
      <c r="BP264" s="586"/>
      <c r="BQ264" s="586"/>
      <c r="BR264" s="586"/>
      <c r="BS264" s="586"/>
    </row>
    <row r="265" spans="2:71" s="574" customFormat="1" x14ac:dyDescent="0.2">
      <c r="B265" s="579" t="s">
        <v>617</v>
      </c>
      <c r="C265" s="553"/>
      <c r="D265" s="553"/>
      <c r="E265" s="579"/>
      <c r="F265" s="579"/>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6"/>
      <c r="AL265" s="586"/>
      <c r="AM265" s="586"/>
      <c r="AN265" s="586"/>
      <c r="AO265" s="586"/>
      <c r="AP265" s="586"/>
      <c r="AQ265" s="586"/>
      <c r="AR265" s="586"/>
      <c r="AS265" s="586"/>
      <c r="AT265" s="586"/>
      <c r="AU265" s="586"/>
      <c r="AV265" s="586"/>
      <c r="AW265" s="586"/>
      <c r="AX265" s="586"/>
      <c r="AY265" s="586"/>
      <c r="AZ265" s="586"/>
      <c r="BA265" s="586"/>
      <c r="BB265" s="586"/>
      <c r="BC265" s="586"/>
      <c r="BD265" s="586"/>
      <c r="BE265" s="586"/>
      <c r="BF265" s="586"/>
      <c r="BG265" s="586"/>
      <c r="BH265" s="586"/>
      <c r="BI265" s="586"/>
      <c r="BJ265" s="586"/>
      <c r="BK265" s="586"/>
      <c r="BL265" s="586"/>
      <c r="BM265" s="586"/>
      <c r="BN265" s="586"/>
      <c r="BO265" s="586"/>
      <c r="BP265" s="586"/>
      <c r="BQ265" s="586"/>
      <c r="BR265" s="586"/>
      <c r="BS265" s="586"/>
    </row>
    <row r="266" spans="2:71" s="574" customFormat="1" x14ac:dyDescent="0.2">
      <c r="B266" s="579" t="s">
        <v>1146</v>
      </c>
      <c r="C266" s="553"/>
      <c r="D266" s="553"/>
      <c r="E266" s="579"/>
      <c r="F266" s="579"/>
      <c r="G266" s="586"/>
      <c r="H266" s="586"/>
      <c r="I266" s="586"/>
      <c r="J266" s="586"/>
      <c r="K266" s="586"/>
      <c r="L266" s="586"/>
      <c r="M266" s="586"/>
      <c r="N266" s="586"/>
      <c r="O266" s="586"/>
      <c r="P266" s="586"/>
      <c r="Q266" s="586"/>
      <c r="R266" s="586"/>
      <c r="S266" s="586"/>
      <c r="T266" s="586"/>
      <c r="U266" s="586"/>
      <c r="V266" s="586"/>
      <c r="W266" s="586"/>
      <c r="X266" s="586"/>
      <c r="Y266" s="586"/>
      <c r="Z266" s="586"/>
      <c r="AA266" s="586"/>
      <c r="AB266" s="586"/>
      <c r="AC266" s="586"/>
      <c r="AD266" s="586"/>
      <c r="AE266" s="586"/>
      <c r="AF266" s="586"/>
      <c r="AG266" s="586"/>
      <c r="AH266" s="586"/>
      <c r="AI266" s="586"/>
      <c r="AJ266" s="586"/>
      <c r="AK266" s="586"/>
      <c r="AL266" s="586"/>
      <c r="AM266" s="586"/>
      <c r="AN266" s="586"/>
      <c r="AO266" s="586"/>
      <c r="AP266" s="586"/>
      <c r="AQ266" s="586"/>
      <c r="AR266" s="586"/>
      <c r="AS266" s="586"/>
      <c r="AT266" s="586"/>
      <c r="AU266" s="586"/>
      <c r="AV266" s="586"/>
      <c r="AW266" s="586"/>
      <c r="AX266" s="586"/>
      <c r="AY266" s="586"/>
      <c r="AZ266" s="586"/>
      <c r="BA266" s="586"/>
      <c r="BB266" s="586"/>
      <c r="BC266" s="586"/>
      <c r="BD266" s="586"/>
      <c r="BE266" s="586"/>
      <c r="BF266" s="586"/>
      <c r="BG266" s="586"/>
      <c r="BH266" s="586"/>
      <c r="BI266" s="586"/>
      <c r="BJ266" s="586"/>
      <c r="BK266" s="586"/>
      <c r="BL266" s="586"/>
      <c r="BM266" s="586"/>
      <c r="BN266" s="586"/>
      <c r="BO266" s="586"/>
      <c r="BP266" s="586"/>
      <c r="BQ266" s="586"/>
      <c r="BR266" s="586"/>
      <c r="BS266" s="586"/>
    </row>
    <row r="267" spans="2:71" s="574" customFormat="1" x14ac:dyDescent="0.2">
      <c r="B267" s="579"/>
      <c r="C267" s="553"/>
      <c r="D267" s="553"/>
      <c r="E267" s="579"/>
      <c r="F267" s="579"/>
      <c r="G267" s="586"/>
      <c r="H267" s="586"/>
      <c r="I267" s="586"/>
      <c r="J267" s="586"/>
      <c r="K267" s="586"/>
      <c r="L267" s="586"/>
      <c r="M267" s="586"/>
      <c r="N267" s="586"/>
      <c r="O267" s="586"/>
      <c r="P267" s="586"/>
      <c r="Q267" s="586"/>
      <c r="R267" s="586"/>
      <c r="S267" s="586"/>
      <c r="T267" s="586"/>
      <c r="U267" s="586"/>
      <c r="V267" s="586"/>
      <c r="W267" s="586"/>
      <c r="X267" s="586"/>
      <c r="Y267" s="586"/>
      <c r="Z267" s="586"/>
      <c r="AA267" s="586"/>
      <c r="AB267" s="586"/>
      <c r="AC267" s="586"/>
      <c r="AD267" s="586"/>
      <c r="AE267" s="586"/>
      <c r="AF267" s="586"/>
      <c r="AG267" s="586"/>
      <c r="AH267" s="586"/>
      <c r="AI267" s="586"/>
      <c r="AJ267" s="586"/>
      <c r="AK267" s="586"/>
      <c r="AL267" s="586"/>
      <c r="AM267" s="586"/>
      <c r="AN267" s="586"/>
      <c r="AO267" s="586"/>
      <c r="AP267" s="586"/>
      <c r="AQ267" s="586"/>
      <c r="AR267" s="586"/>
      <c r="AS267" s="586"/>
      <c r="AT267" s="586"/>
      <c r="AU267" s="586"/>
      <c r="AV267" s="586"/>
      <c r="AW267" s="586"/>
      <c r="AX267" s="586"/>
      <c r="AY267" s="586"/>
      <c r="AZ267" s="586"/>
      <c r="BA267" s="586"/>
      <c r="BB267" s="586"/>
      <c r="BC267" s="586"/>
      <c r="BD267" s="586"/>
      <c r="BE267" s="586"/>
      <c r="BF267" s="586"/>
      <c r="BG267" s="586"/>
      <c r="BH267" s="586"/>
      <c r="BI267" s="586"/>
      <c r="BJ267" s="586"/>
      <c r="BK267" s="586"/>
      <c r="BL267" s="586"/>
      <c r="BM267" s="586"/>
      <c r="BN267" s="586"/>
      <c r="BO267" s="586"/>
      <c r="BP267" s="586"/>
      <c r="BQ267" s="586"/>
      <c r="BR267" s="586"/>
      <c r="BS267" s="586"/>
    </row>
    <row r="268" spans="2:71" s="574" customFormat="1" x14ac:dyDescent="0.2">
      <c r="B268" s="579"/>
      <c r="C268" s="553"/>
      <c r="D268" s="553"/>
      <c r="E268" s="579"/>
      <c r="F268" s="579"/>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6"/>
      <c r="AL268" s="586"/>
      <c r="AM268" s="586"/>
      <c r="AN268" s="586"/>
      <c r="AO268" s="586"/>
      <c r="AP268" s="586"/>
      <c r="AQ268" s="586"/>
      <c r="AR268" s="586"/>
      <c r="AS268" s="586"/>
      <c r="AT268" s="586"/>
      <c r="AU268" s="586"/>
      <c r="AV268" s="586"/>
      <c r="AW268" s="586"/>
      <c r="AX268" s="586"/>
      <c r="AY268" s="586"/>
      <c r="AZ268" s="586"/>
      <c r="BA268" s="586"/>
      <c r="BB268" s="586"/>
      <c r="BC268" s="586"/>
      <c r="BD268" s="586"/>
      <c r="BE268" s="586"/>
      <c r="BF268" s="586"/>
      <c r="BG268" s="586"/>
      <c r="BH268" s="586"/>
      <c r="BI268" s="586"/>
      <c r="BJ268" s="586"/>
      <c r="BK268" s="586"/>
      <c r="BL268" s="586"/>
      <c r="BM268" s="586"/>
      <c r="BN268" s="586"/>
      <c r="BO268" s="586"/>
      <c r="BP268" s="586"/>
      <c r="BQ268" s="586"/>
      <c r="BR268" s="586"/>
      <c r="BS268" s="586"/>
    </row>
    <row r="269" spans="2:71" s="574" customFormat="1" ht="15.75" x14ac:dyDescent="0.25">
      <c r="B269" s="572" t="s">
        <v>237</v>
      </c>
      <c r="C269" s="553"/>
      <c r="D269" s="553"/>
      <c r="E269" s="579"/>
      <c r="F269" s="579"/>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6"/>
      <c r="AL269" s="586"/>
      <c r="AM269" s="586"/>
      <c r="AN269" s="586"/>
      <c r="AO269" s="586"/>
      <c r="AP269" s="586"/>
      <c r="AQ269" s="586"/>
      <c r="AR269" s="586"/>
      <c r="AS269" s="586"/>
      <c r="AT269" s="586"/>
      <c r="AU269" s="586"/>
      <c r="AV269" s="586"/>
      <c r="AW269" s="586"/>
      <c r="AX269" s="586"/>
      <c r="AY269" s="586"/>
      <c r="AZ269" s="586"/>
      <c r="BA269" s="586"/>
      <c r="BB269" s="586"/>
      <c r="BC269" s="586"/>
      <c r="BD269" s="586"/>
      <c r="BE269" s="586"/>
      <c r="BF269" s="586"/>
      <c r="BG269" s="586"/>
      <c r="BH269" s="586"/>
      <c r="BI269" s="586"/>
      <c r="BJ269" s="586"/>
      <c r="BK269" s="586"/>
      <c r="BL269" s="586"/>
      <c r="BM269" s="586"/>
      <c r="BN269" s="586"/>
      <c r="BO269" s="586"/>
      <c r="BP269" s="586"/>
      <c r="BQ269" s="586"/>
      <c r="BR269" s="586"/>
      <c r="BS269" s="586"/>
    </row>
    <row r="270" spans="2:71" s="574" customFormat="1" x14ac:dyDescent="0.2">
      <c r="B270" s="579"/>
      <c r="C270" s="553"/>
      <c r="D270" s="553"/>
      <c r="E270" s="579"/>
      <c r="F270" s="579"/>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6"/>
      <c r="AL270" s="586"/>
      <c r="AM270" s="586"/>
      <c r="AN270" s="586"/>
      <c r="AO270" s="586"/>
      <c r="AP270" s="586"/>
      <c r="AQ270" s="586"/>
      <c r="AR270" s="586"/>
      <c r="AS270" s="586"/>
      <c r="AT270" s="586"/>
      <c r="AU270" s="586"/>
      <c r="AV270" s="586"/>
      <c r="AW270" s="586"/>
      <c r="AX270" s="586"/>
      <c r="AY270" s="586"/>
      <c r="AZ270" s="586"/>
      <c r="BA270" s="586"/>
      <c r="BB270" s="586"/>
      <c r="BC270" s="586"/>
      <c r="BD270" s="586"/>
      <c r="BE270" s="586"/>
      <c r="BF270" s="586"/>
      <c r="BG270" s="586"/>
      <c r="BH270" s="586"/>
      <c r="BI270" s="586"/>
      <c r="BJ270" s="586"/>
      <c r="BK270" s="586"/>
      <c r="BL270" s="586"/>
      <c r="BM270" s="586"/>
      <c r="BN270" s="586"/>
      <c r="BO270" s="586"/>
      <c r="BP270" s="586"/>
      <c r="BQ270" s="586"/>
      <c r="BR270" s="586"/>
      <c r="BS270" s="586"/>
    </row>
    <row r="271" spans="2:71" s="574" customFormat="1" x14ac:dyDescent="0.2">
      <c r="B271" s="579" t="s">
        <v>303</v>
      </c>
      <c r="D271" s="553">
        <v>36</v>
      </c>
      <c r="E271" s="579"/>
      <c r="F271" s="579"/>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6"/>
      <c r="AL271" s="586"/>
      <c r="AM271" s="586"/>
      <c r="AN271" s="586"/>
      <c r="AO271" s="586"/>
      <c r="AP271" s="586"/>
      <c r="AQ271" s="586"/>
      <c r="AR271" s="586"/>
      <c r="AS271" s="586"/>
      <c r="AT271" s="586"/>
      <c r="AU271" s="586"/>
      <c r="AV271" s="586"/>
      <c r="AW271" s="586"/>
      <c r="AX271" s="586"/>
      <c r="AY271" s="586"/>
      <c r="AZ271" s="586"/>
      <c r="BA271" s="586"/>
      <c r="BB271" s="586"/>
      <c r="BC271" s="586"/>
      <c r="BD271" s="586"/>
      <c r="BE271" s="586"/>
      <c r="BF271" s="586"/>
      <c r="BG271" s="586"/>
      <c r="BH271" s="586"/>
      <c r="BI271" s="586"/>
      <c r="BJ271" s="586"/>
      <c r="BK271" s="586"/>
      <c r="BL271" s="586"/>
      <c r="BM271" s="586"/>
      <c r="BN271" s="586"/>
      <c r="BO271" s="586"/>
      <c r="BP271" s="586"/>
      <c r="BQ271" s="586"/>
      <c r="BR271" s="586"/>
      <c r="BS271" s="586"/>
    </row>
    <row r="272" spans="2:71" s="574" customFormat="1" x14ac:dyDescent="0.2">
      <c r="B272" s="579" t="s">
        <v>304</v>
      </c>
      <c r="D272" s="553">
        <v>43</v>
      </c>
      <c r="E272" s="579"/>
      <c r="F272" s="579"/>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6"/>
      <c r="AL272" s="586"/>
      <c r="AM272" s="586"/>
      <c r="AN272" s="586"/>
      <c r="AO272" s="586"/>
      <c r="AP272" s="586"/>
      <c r="AQ272" s="586"/>
      <c r="AR272" s="586"/>
      <c r="AS272" s="586"/>
      <c r="AT272" s="586"/>
      <c r="AU272" s="586"/>
      <c r="AV272" s="586"/>
      <c r="AW272" s="586"/>
      <c r="AX272" s="586"/>
      <c r="AY272" s="586"/>
      <c r="AZ272" s="586"/>
      <c r="BA272" s="586"/>
      <c r="BB272" s="586"/>
      <c r="BC272" s="586"/>
      <c r="BD272" s="586"/>
      <c r="BE272" s="586"/>
      <c r="BF272" s="586"/>
      <c r="BG272" s="586"/>
      <c r="BH272" s="586"/>
      <c r="BI272" s="586"/>
      <c r="BJ272" s="586"/>
      <c r="BK272" s="586"/>
      <c r="BL272" s="586"/>
      <c r="BM272" s="586"/>
      <c r="BN272" s="586"/>
      <c r="BO272" s="586"/>
      <c r="BP272" s="586"/>
      <c r="BQ272" s="586"/>
      <c r="BR272" s="586"/>
      <c r="BS272" s="586"/>
    </row>
    <row r="273" spans="2:71" s="574" customFormat="1" x14ac:dyDescent="0.2">
      <c r="B273" s="579"/>
      <c r="C273" s="553"/>
      <c r="D273" s="553"/>
      <c r="E273" s="579"/>
      <c r="F273" s="579"/>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6"/>
      <c r="AL273" s="586"/>
      <c r="AM273" s="586"/>
      <c r="AN273" s="586"/>
      <c r="AO273" s="586"/>
      <c r="AP273" s="586"/>
      <c r="AQ273" s="586"/>
      <c r="AR273" s="586"/>
      <c r="AS273" s="586"/>
      <c r="AT273" s="586"/>
      <c r="AU273" s="586"/>
      <c r="AV273" s="586"/>
      <c r="AW273" s="586"/>
      <c r="AX273" s="586"/>
      <c r="AY273" s="586"/>
      <c r="AZ273" s="586"/>
      <c r="BA273" s="586"/>
      <c r="BB273" s="586"/>
      <c r="BC273" s="586"/>
      <c r="BD273" s="586"/>
      <c r="BE273" s="586"/>
      <c r="BF273" s="586"/>
      <c r="BG273" s="586"/>
      <c r="BH273" s="586"/>
      <c r="BI273" s="586"/>
      <c r="BJ273" s="586"/>
      <c r="BK273" s="586"/>
      <c r="BL273" s="586"/>
      <c r="BM273" s="586"/>
      <c r="BN273" s="586"/>
      <c r="BO273" s="586"/>
      <c r="BP273" s="586"/>
      <c r="BQ273" s="586"/>
      <c r="BR273" s="586"/>
      <c r="BS273" s="586"/>
    </row>
    <row r="274" spans="2:71" s="574" customFormat="1" ht="15.75" x14ac:dyDescent="0.25">
      <c r="B274" s="579"/>
      <c r="C274" s="960" t="s">
        <v>836</v>
      </c>
      <c r="D274" s="553"/>
      <c r="E274" s="579"/>
      <c r="F274" s="579"/>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6"/>
      <c r="AL274" s="586"/>
      <c r="AM274" s="586"/>
      <c r="AN274" s="586"/>
      <c r="AO274" s="586"/>
      <c r="AP274" s="586"/>
      <c r="AQ274" s="586"/>
      <c r="AR274" s="586"/>
      <c r="AS274" s="586"/>
      <c r="AT274" s="586"/>
      <c r="AU274" s="586"/>
      <c r="AV274" s="586"/>
      <c r="AW274" s="586"/>
      <c r="AX274" s="586"/>
      <c r="AY274" s="586"/>
      <c r="AZ274" s="586"/>
      <c r="BA274" s="586"/>
      <c r="BB274" s="586"/>
      <c r="BC274" s="586"/>
      <c r="BD274" s="586"/>
      <c r="BE274" s="586"/>
      <c r="BF274" s="586"/>
      <c r="BG274" s="586"/>
      <c r="BH274" s="586"/>
      <c r="BI274" s="586"/>
      <c r="BJ274" s="586"/>
      <c r="BK274" s="586"/>
      <c r="BL274" s="586"/>
      <c r="BM274" s="586"/>
      <c r="BN274" s="586"/>
      <c r="BO274" s="586"/>
      <c r="BP274" s="586"/>
      <c r="BQ274" s="586"/>
      <c r="BR274" s="586"/>
      <c r="BS274" s="586"/>
    </row>
    <row r="275" spans="2:71" s="574" customFormat="1" ht="15.75" x14ac:dyDescent="0.25">
      <c r="B275" s="579"/>
      <c r="C275" s="960" t="s">
        <v>835</v>
      </c>
      <c r="D275" s="589"/>
      <c r="E275" s="579"/>
      <c r="F275" s="579"/>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6"/>
      <c r="AL275" s="586"/>
      <c r="AM275" s="586"/>
      <c r="AN275" s="586"/>
      <c r="AO275" s="586"/>
      <c r="AP275" s="586"/>
      <c r="AQ275" s="586"/>
      <c r="AR275" s="586"/>
      <c r="AS275" s="586"/>
      <c r="AT275" s="586"/>
      <c r="AU275" s="586"/>
      <c r="AV275" s="586"/>
      <c r="AW275" s="586"/>
      <c r="AX275" s="586"/>
      <c r="AY275" s="586"/>
      <c r="AZ275" s="586"/>
      <c r="BA275" s="586"/>
      <c r="BB275" s="586"/>
      <c r="BC275" s="586"/>
      <c r="BD275" s="586"/>
      <c r="BE275" s="586"/>
      <c r="BF275" s="586"/>
      <c r="BG275" s="586"/>
      <c r="BH275" s="586"/>
      <c r="BI275" s="586"/>
      <c r="BJ275" s="586"/>
      <c r="BK275" s="586"/>
      <c r="BL275" s="586"/>
      <c r="BM275" s="586"/>
      <c r="BN275" s="586"/>
      <c r="BO275" s="586"/>
      <c r="BP275" s="586"/>
      <c r="BQ275" s="586"/>
      <c r="BR275" s="586"/>
      <c r="BS275" s="586"/>
    </row>
    <row r="276" spans="2:71" s="574" customFormat="1" ht="15.75" x14ac:dyDescent="0.25">
      <c r="B276" s="579"/>
      <c r="C276" s="961" t="s">
        <v>837</v>
      </c>
      <c r="D276" s="589"/>
      <c r="E276" s="579"/>
      <c r="F276" s="579"/>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6"/>
      <c r="AL276" s="586"/>
      <c r="AM276" s="586"/>
      <c r="AN276" s="586"/>
      <c r="AO276" s="586"/>
      <c r="AP276" s="586"/>
      <c r="AQ276" s="586"/>
      <c r="AR276" s="586"/>
      <c r="AS276" s="586"/>
      <c r="AT276" s="586"/>
      <c r="AU276" s="586"/>
      <c r="AV276" s="586"/>
      <c r="AW276" s="586"/>
      <c r="AX276" s="586"/>
      <c r="AY276" s="586"/>
      <c r="AZ276" s="586"/>
      <c r="BA276" s="586"/>
      <c r="BB276" s="586"/>
      <c r="BC276" s="586"/>
      <c r="BD276" s="586"/>
      <c r="BE276" s="586"/>
      <c r="BF276" s="586"/>
      <c r="BG276" s="586"/>
      <c r="BH276" s="586"/>
      <c r="BI276" s="586"/>
      <c r="BJ276" s="586"/>
      <c r="BK276" s="586"/>
      <c r="BL276" s="586"/>
      <c r="BM276" s="586"/>
      <c r="BN276" s="586"/>
      <c r="BO276" s="586"/>
      <c r="BP276" s="586"/>
      <c r="BQ276" s="586"/>
      <c r="BR276" s="586"/>
      <c r="BS276" s="586"/>
    </row>
    <row r="277" spans="2:71" s="574" customFormat="1" ht="15.75" x14ac:dyDescent="0.25">
      <c r="B277" s="536" t="s">
        <v>834</v>
      </c>
      <c r="C277" s="537" t="s">
        <v>838</v>
      </c>
      <c r="D277" s="583" t="s">
        <v>163</v>
      </c>
      <c r="E277" s="579"/>
      <c r="F277" s="579"/>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6"/>
      <c r="AL277" s="586"/>
      <c r="AM277" s="586"/>
      <c r="AN277" s="586"/>
      <c r="AO277" s="586"/>
      <c r="AP277" s="586"/>
      <c r="AQ277" s="586"/>
      <c r="AR277" s="586"/>
      <c r="AS277" s="586"/>
      <c r="AT277" s="586"/>
      <c r="AU277" s="586"/>
      <c r="AV277" s="586"/>
      <c r="AW277" s="586"/>
      <c r="AX277" s="586"/>
      <c r="AY277" s="586"/>
      <c r="AZ277" s="586"/>
      <c r="BA277" s="586"/>
      <c r="BB277" s="586"/>
      <c r="BC277" s="586"/>
      <c r="BD277" s="586"/>
      <c r="BE277" s="586"/>
      <c r="BF277" s="586"/>
      <c r="BG277" s="586"/>
      <c r="BH277" s="586"/>
      <c r="BI277" s="586"/>
      <c r="BJ277" s="586"/>
      <c r="BK277" s="586"/>
      <c r="BL277" s="586"/>
      <c r="BM277" s="586"/>
      <c r="BN277" s="586"/>
      <c r="BO277" s="586"/>
      <c r="BP277" s="586"/>
      <c r="BQ277" s="586"/>
      <c r="BR277" s="586"/>
      <c r="BS277" s="586"/>
    </row>
    <row r="278" spans="2:71" s="574" customFormat="1" ht="28.5" x14ac:dyDescent="0.2">
      <c r="B278" s="590" t="s">
        <v>238</v>
      </c>
      <c r="C278" s="594">
        <f>C279*0.9</f>
        <v>-18351</v>
      </c>
      <c r="D278" s="589"/>
      <c r="E278" s="579"/>
      <c r="F278" s="579"/>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6"/>
      <c r="AL278" s="586"/>
      <c r="AM278" s="586"/>
      <c r="AN278" s="586"/>
      <c r="AO278" s="586"/>
      <c r="AP278" s="586"/>
      <c r="AQ278" s="586"/>
      <c r="AR278" s="586"/>
      <c r="AS278" s="586"/>
      <c r="AT278" s="586"/>
      <c r="AU278" s="586"/>
      <c r="AV278" s="586"/>
      <c r="AW278" s="586"/>
      <c r="AX278" s="586"/>
      <c r="AY278" s="586"/>
      <c r="AZ278" s="586"/>
      <c r="BA278" s="586"/>
      <c r="BB278" s="586"/>
      <c r="BC278" s="586"/>
      <c r="BD278" s="586"/>
      <c r="BE278" s="586"/>
      <c r="BF278" s="586"/>
      <c r="BG278" s="586"/>
      <c r="BH278" s="586"/>
      <c r="BI278" s="586"/>
      <c r="BJ278" s="586"/>
      <c r="BK278" s="586"/>
      <c r="BL278" s="586"/>
      <c r="BM278" s="586"/>
      <c r="BN278" s="586"/>
      <c r="BO278" s="586"/>
      <c r="BP278" s="586"/>
      <c r="BQ278" s="586"/>
      <c r="BR278" s="586"/>
      <c r="BS278" s="586"/>
    </row>
    <row r="279" spans="2:71" s="574" customFormat="1" x14ac:dyDescent="0.2">
      <c r="B279" s="579" t="s">
        <v>156</v>
      </c>
      <c r="C279" s="594">
        <v>-20390</v>
      </c>
      <c r="D279" s="595">
        <f>(D272/D271)*C279</f>
        <v>-24354.722222222223</v>
      </c>
      <c r="E279" s="579"/>
      <c r="F279" s="579"/>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6"/>
      <c r="AL279" s="586"/>
      <c r="AM279" s="586"/>
      <c r="AN279" s="586"/>
      <c r="AO279" s="586"/>
      <c r="AP279" s="586"/>
      <c r="AQ279" s="586"/>
      <c r="AR279" s="586"/>
      <c r="AS279" s="586"/>
      <c r="AT279" s="586"/>
      <c r="AU279" s="586"/>
      <c r="AV279" s="586"/>
      <c r="AW279" s="586"/>
      <c r="AX279" s="586"/>
      <c r="AY279" s="586"/>
      <c r="AZ279" s="586"/>
      <c r="BA279" s="586"/>
      <c r="BB279" s="586"/>
      <c r="BC279" s="586"/>
      <c r="BD279" s="586"/>
      <c r="BE279" s="586"/>
      <c r="BF279" s="586"/>
      <c r="BG279" s="586"/>
      <c r="BH279" s="586"/>
      <c r="BI279" s="586"/>
      <c r="BJ279" s="586"/>
      <c r="BK279" s="586"/>
      <c r="BL279" s="586"/>
      <c r="BM279" s="586"/>
      <c r="BN279" s="586"/>
      <c r="BO279" s="586"/>
      <c r="BP279" s="586"/>
      <c r="BQ279" s="586"/>
      <c r="BR279" s="586"/>
      <c r="BS279" s="586"/>
    </row>
    <row r="280" spans="2:71" s="574" customFormat="1" x14ac:dyDescent="0.2">
      <c r="B280" s="579" t="s">
        <v>157</v>
      </c>
      <c r="C280" s="594">
        <v>-26620</v>
      </c>
      <c r="D280" s="595">
        <f>(D272/D271)*C280</f>
        <v>-31796.111111111109</v>
      </c>
      <c r="E280" s="579"/>
      <c r="F280" s="579"/>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6"/>
      <c r="AL280" s="586"/>
      <c r="AM280" s="586"/>
      <c r="AN280" s="586"/>
      <c r="AO280" s="586"/>
      <c r="AP280" s="586"/>
      <c r="AQ280" s="586"/>
      <c r="AR280" s="586"/>
      <c r="AS280" s="586"/>
      <c r="AT280" s="586"/>
      <c r="AU280" s="586"/>
      <c r="AV280" s="586"/>
      <c r="AW280" s="586"/>
      <c r="AX280" s="586"/>
      <c r="AY280" s="586"/>
      <c r="AZ280" s="586"/>
      <c r="BA280" s="586"/>
      <c r="BB280" s="586"/>
      <c r="BC280" s="586"/>
      <c r="BD280" s="586"/>
      <c r="BE280" s="586"/>
      <c r="BF280" s="586"/>
      <c r="BG280" s="586"/>
      <c r="BH280" s="586"/>
      <c r="BI280" s="586"/>
      <c r="BJ280" s="586"/>
      <c r="BK280" s="586"/>
      <c r="BL280" s="586"/>
      <c r="BM280" s="586"/>
      <c r="BN280" s="586"/>
      <c r="BO280" s="586"/>
      <c r="BP280" s="586"/>
      <c r="BQ280" s="586"/>
      <c r="BR280" s="586"/>
      <c r="BS280" s="586"/>
    </row>
    <row r="281" spans="2:71" s="574" customFormat="1" ht="28.5" x14ac:dyDescent="0.2">
      <c r="B281" s="590" t="s">
        <v>158</v>
      </c>
      <c r="C281" s="594">
        <v>-32744</v>
      </c>
      <c r="D281" s="595">
        <f>(D272/D271)*C281</f>
        <v>-39110.888888888891</v>
      </c>
      <c r="E281" s="579"/>
      <c r="F281" s="579"/>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6"/>
      <c r="AL281" s="586"/>
      <c r="AM281" s="586"/>
      <c r="AN281" s="586"/>
      <c r="AO281" s="586"/>
      <c r="AP281" s="586"/>
      <c r="AQ281" s="586"/>
      <c r="AR281" s="586"/>
      <c r="AS281" s="586"/>
      <c r="AT281" s="586"/>
      <c r="AU281" s="586"/>
      <c r="AV281" s="586"/>
      <c r="AW281" s="586"/>
      <c r="AX281" s="586"/>
      <c r="AY281" s="586"/>
      <c r="AZ281" s="586"/>
      <c r="BA281" s="586"/>
      <c r="BB281" s="586"/>
      <c r="BC281" s="586"/>
      <c r="BD281" s="586"/>
      <c r="BE281" s="586"/>
      <c r="BF281" s="586"/>
      <c r="BG281" s="586"/>
      <c r="BH281" s="586"/>
      <c r="BI281" s="586"/>
      <c r="BJ281" s="586"/>
      <c r="BK281" s="586"/>
      <c r="BL281" s="586"/>
      <c r="BM281" s="586"/>
      <c r="BN281" s="586"/>
      <c r="BO281" s="586"/>
      <c r="BP281" s="586"/>
      <c r="BQ281" s="586"/>
      <c r="BR281" s="586"/>
      <c r="BS281" s="586"/>
    </row>
    <row r="282" spans="2:71" s="574" customFormat="1" x14ac:dyDescent="0.2">
      <c r="D282" s="595"/>
      <c r="E282" s="579"/>
      <c r="F282" s="579"/>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6"/>
      <c r="AL282" s="586"/>
      <c r="AM282" s="586"/>
      <c r="AN282" s="586"/>
      <c r="AO282" s="586"/>
      <c r="AP282" s="586"/>
      <c r="AQ282" s="586"/>
      <c r="AR282" s="586"/>
      <c r="AS282" s="586"/>
      <c r="AT282" s="586"/>
      <c r="AU282" s="586"/>
      <c r="AV282" s="586"/>
      <c r="AW282" s="586"/>
      <c r="AX282" s="586"/>
      <c r="AY282" s="586"/>
      <c r="AZ282" s="586"/>
      <c r="BA282" s="586"/>
      <c r="BB282" s="586"/>
      <c r="BC282" s="586"/>
      <c r="BD282" s="586"/>
      <c r="BE282" s="586"/>
      <c r="BF282" s="586"/>
      <c r="BG282" s="586"/>
      <c r="BH282" s="586"/>
      <c r="BI282" s="586"/>
      <c r="BJ282" s="586"/>
      <c r="BK282" s="586"/>
      <c r="BL282" s="586"/>
      <c r="BM282" s="586"/>
      <c r="BN282" s="586"/>
      <c r="BO282" s="586"/>
      <c r="BP282" s="586"/>
      <c r="BQ282" s="586"/>
      <c r="BR282" s="586"/>
      <c r="BS282" s="586"/>
    </row>
    <row r="283" spans="2:71" s="574" customFormat="1" x14ac:dyDescent="0.2">
      <c r="B283" s="590"/>
      <c r="C283" s="553"/>
      <c r="D283" s="553"/>
      <c r="E283" s="579"/>
      <c r="F283" s="579"/>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6"/>
      <c r="AL283" s="586"/>
      <c r="AM283" s="586"/>
      <c r="AN283" s="586"/>
      <c r="AO283" s="586"/>
      <c r="AP283" s="586"/>
      <c r="AQ283" s="586"/>
      <c r="AR283" s="586"/>
      <c r="AS283" s="586"/>
      <c r="AT283" s="586"/>
      <c r="AU283" s="586"/>
      <c r="AV283" s="586"/>
      <c r="AW283" s="586"/>
      <c r="AX283" s="586"/>
      <c r="AY283" s="586"/>
      <c r="AZ283" s="586"/>
      <c r="BA283" s="586"/>
      <c r="BB283" s="586"/>
      <c r="BC283" s="586"/>
      <c r="BD283" s="586"/>
      <c r="BE283" s="586"/>
      <c r="BF283" s="586"/>
      <c r="BG283" s="586"/>
      <c r="BH283" s="586"/>
      <c r="BI283" s="586"/>
      <c r="BJ283" s="586"/>
      <c r="BK283" s="586"/>
      <c r="BL283" s="586"/>
      <c r="BM283" s="586"/>
      <c r="BN283" s="586"/>
      <c r="BO283" s="586"/>
      <c r="BP283" s="586"/>
      <c r="BQ283" s="586"/>
      <c r="BR283" s="586"/>
      <c r="BS283" s="586"/>
    </row>
    <row r="284" spans="2:71" s="574" customFormat="1" x14ac:dyDescent="0.2">
      <c r="B284" s="579" t="s">
        <v>164</v>
      </c>
      <c r="C284" s="553"/>
      <c r="D284" s="553"/>
      <c r="E284" s="579"/>
      <c r="F284" s="579"/>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6"/>
      <c r="AL284" s="586"/>
      <c r="AM284" s="586"/>
      <c r="AN284" s="586"/>
      <c r="AO284" s="586"/>
      <c r="AP284" s="586"/>
      <c r="AQ284" s="586"/>
      <c r="AR284" s="586"/>
      <c r="AS284" s="586"/>
      <c r="AT284" s="586"/>
      <c r="AU284" s="586"/>
      <c r="AV284" s="586"/>
      <c r="AW284" s="586"/>
      <c r="AX284" s="586"/>
      <c r="AY284" s="586"/>
      <c r="AZ284" s="586"/>
      <c r="BA284" s="586"/>
      <c r="BB284" s="586"/>
      <c r="BC284" s="586"/>
      <c r="BD284" s="586"/>
      <c r="BE284" s="586"/>
      <c r="BF284" s="586"/>
      <c r="BG284" s="586"/>
      <c r="BH284" s="586"/>
      <c r="BI284" s="586"/>
      <c r="BJ284" s="586"/>
      <c r="BK284" s="586"/>
      <c r="BL284" s="586"/>
      <c r="BM284" s="586"/>
      <c r="BN284" s="586"/>
      <c r="BO284" s="586"/>
      <c r="BP284" s="586"/>
      <c r="BQ284" s="586"/>
      <c r="BR284" s="586"/>
      <c r="BS284" s="586"/>
    </row>
    <row r="285" spans="2:71" s="574" customFormat="1" x14ac:dyDescent="0.2">
      <c r="B285" s="579" t="s">
        <v>159</v>
      </c>
      <c r="C285" s="553"/>
      <c r="D285" s="553"/>
      <c r="E285" s="579"/>
      <c r="F285" s="579"/>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6"/>
      <c r="AL285" s="586"/>
      <c r="AM285" s="586"/>
      <c r="AN285" s="586"/>
      <c r="AO285" s="586"/>
      <c r="AP285" s="586"/>
      <c r="AQ285" s="586"/>
      <c r="AR285" s="586"/>
      <c r="AS285" s="586"/>
      <c r="AT285" s="586"/>
      <c r="AU285" s="586"/>
      <c r="AV285" s="586"/>
      <c r="AW285" s="586"/>
      <c r="AX285" s="586"/>
      <c r="AY285" s="586"/>
      <c r="AZ285" s="586"/>
      <c r="BA285" s="586"/>
      <c r="BB285" s="586"/>
      <c r="BC285" s="586"/>
      <c r="BD285" s="586"/>
      <c r="BE285" s="586"/>
      <c r="BF285" s="586"/>
      <c r="BG285" s="586"/>
      <c r="BH285" s="586"/>
      <c r="BI285" s="586"/>
      <c r="BJ285" s="586"/>
      <c r="BK285" s="586"/>
      <c r="BL285" s="586"/>
      <c r="BM285" s="586"/>
      <c r="BN285" s="586"/>
      <c r="BO285" s="586"/>
      <c r="BP285" s="586"/>
      <c r="BQ285" s="586"/>
      <c r="BR285" s="586"/>
      <c r="BS285" s="586"/>
    </row>
    <row r="286" spans="2:71" s="574" customFormat="1" x14ac:dyDescent="0.2">
      <c r="B286" s="579" t="s">
        <v>160</v>
      </c>
      <c r="C286" s="553"/>
      <c r="D286" s="553"/>
      <c r="E286" s="579"/>
      <c r="F286" s="579"/>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6"/>
      <c r="AL286" s="586"/>
      <c r="AM286" s="586"/>
      <c r="AN286" s="586"/>
      <c r="AO286" s="586"/>
      <c r="AP286" s="586"/>
      <c r="AQ286" s="586"/>
      <c r="AR286" s="586"/>
      <c r="AS286" s="586"/>
      <c r="AT286" s="586"/>
      <c r="AU286" s="586"/>
      <c r="AV286" s="586"/>
      <c r="AW286" s="586"/>
      <c r="AX286" s="586"/>
      <c r="AY286" s="586"/>
      <c r="AZ286" s="586"/>
      <c r="BA286" s="586"/>
      <c r="BB286" s="586"/>
      <c r="BC286" s="586"/>
      <c r="BD286" s="586"/>
      <c r="BE286" s="586"/>
      <c r="BF286" s="586"/>
      <c r="BG286" s="586"/>
      <c r="BH286" s="586"/>
      <c r="BI286" s="586"/>
      <c r="BJ286" s="586"/>
      <c r="BK286" s="586"/>
      <c r="BL286" s="586"/>
      <c r="BM286" s="586"/>
      <c r="BN286" s="586"/>
      <c r="BO286" s="586"/>
      <c r="BP286" s="586"/>
      <c r="BQ286" s="586"/>
      <c r="BR286" s="586"/>
      <c r="BS286" s="586"/>
    </row>
    <row r="287" spans="2:71" s="574" customFormat="1" x14ac:dyDescent="0.2">
      <c r="B287" s="579" t="s">
        <v>165</v>
      </c>
      <c r="C287" s="553"/>
      <c r="D287" s="553"/>
      <c r="E287" s="579"/>
      <c r="F287" s="579"/>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6"/>
      <c r="AL287" s="586"/>
      <c r="AM287" s="586"/>
      <c r="AN287" s="586"/>
      <c r="AO287" s="586"/>
      <c r="AP287" s="586"/>
      <c r="AQ287" s="586"/>
      <c r="AR287" s="586"/>
      <c r="AS287" s="586"/>
      <c r="AT287" s="586"/>
      <c r="AU287" s="586"/>
      <c r="AV287" s="586"/>
      <c r="AW287" s="586"/>
      <c r="AX287" s="586"/>
      <c r="AY287" s="586"/>
      <c r="AZ287" s="586"/>
      <c r="BA287" s="586"/>
      <c r="BB287" s="586"/>
      <c r="BC287" s="586"/>
      <c r="BD287" s="586"/>
      <c r="BE287" s="586"/>
      <c r="BF287" s="586"/>
      <c r="BG287" s="586"/>
      <c r="BH287" s="586"/>
      <c r="BI287" s="586"/>
      <c r="BJ287" s="586"/>
      <c r="BK287" s="586"/>
      <c r="BL287" s="586"/>
      <c r="BM287" s="586"/>
      <c r="BN287" s="586"/>
      <c r="BO287" s="586"/>
      <c r="BP287" s="586"/>
      <c r="BQ287" s="586"/>
      <c r="BR287" s="586"/>
      <c r="BS287" s="586"/>
    </row>
    <row r="288" spans="2:71" s="574" customFormat="1" x14ac:dyDescent="0.2">
      <c r="B288" s="579" t="s">
        <v>239</v>
      </c>
      <c r="C288" s="553"/>
      <c r="D288" s="553"/>
      <c r="E288" s="579"/>
      <c r="F288" s="579"/>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6"/>
      <c r="AL288" s="586"/>
      <c r="AM288" s="586"/>
      <c r="AN288" s="586"/>
      <c r="AO288" s="586"/>
      <c r="AP288" s="586"/>
      <c r="AQ288" s="586"/>
      <c r="AR288" s="586"/>
      <c r="AS288" s="586"/>
      <c r="AT288" s="586"/>
      <c r="AU288" s="586"/>
      <c r="AV288" s="586"/>
      <c r="AW288" s="586"/>
      <c r="AX288" s="586"/>
      <c r="AY288" s="586"/>
      <c r="AZ288" s="586"/>
      <c r="BA288" s="586"/>
      <c r="BB288" s="586"/>
      <c r="BC288" s="586"/>
      <c r="BD288" s="586"/>
      <c r="BE288" s="586"/>
      <c r="BF288" s="586"/>
      <c r="BG288" s="586"/>
      <c r="BH288" s="586"/>
      <c r="BI288" s="586"/>
      <c r="BJ288" s="586"/>
      <c r="BK288" s="586"/>
      <c r="BL288" s="586"/>
      <c r="BM288" s="586"/>
      <c r="BN288" s="586"/>
      <c r="BO288" s="586"/>
      <c r="BP288" s="586"/>
      <c r="BQ288" s="586"/>
      <c r="BR288" s="586"/>
      <c r="BS288" s="586"/>
    </row>
    <row r="289" spans="2:71" s="574" customFormat="1" x14ac:dyDescent="0.2">
      <c r="B289" s="579"/>
      <c r="C289" s="553"/>
      <c r="D289" s="553"/>
      <c r="E289" s="579"/>
      <c r="F289" s="579"/>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6"/>
      <c r="AL289" s="586"/>
      <c r="AM289" s="586"/>
      <c r="AN289" s="586"/>
      <c r="AO289" s="586"/>
      <c r="AP289" s="586"/>
      <c r="AQ289" s="586"/>
      <c r="AR289" s="586"/>
      <c r="AS289" s="586"/>
      <c r="AT289" s="586"/>
      <c r="AU289" s="586"/>
      <c r="AV289" s="586"/>
      <c r="AW289" s="586"/>
      <c r="AX289" s="586"/>
      <c r="AY289" s="586"/>
      <c r="AZ289" s="586"/>
      <c r="BA289" s="586"/>
      <c r="BB289" s="586"/>
      <c r="BC289" s="586"/>
      <c r="BD289" s="586"/>
      <c r="BE289" s="586"/>
      <c r="BF289" s="586"/>
      <c r="BG289" s="586"/>
      <c r="BH289" s="586"/>
      <c r="BI289" s="586"/>
      <c r="BJ289" s="586"/>
      <c r="BK289" s="586"/>
      <c r="BL289" s="586"/>
      <c r="BM289" s="586"/>
      <c r="BN289" s="586"/>
      <c r="BO289" s="586"/>
      <c r="BP289" s="586"/>
      <c r="BQ289" s="586"/>
      <c r="BR289" s="586"/>
      <c r="BS289" s="586"/>
    </row>
    <row r="290" spans="2:71" s="574" customFormat="1" x14ac:dyDescent="0.2">
      <c r="B290" s="579"/>
      <c r="C290" s="553"/>
      <c r="D290" s="553"/>
      <c r="E290" s="579"/>
      <c r="F290" s="579"/>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6"/>
      <c r="AL290" s="586"/>
      <c r="AM290" s="586"/>
      <c r="AN290" s="586"/>
      <c r="AO290" s="586"/>
      <c r="AP290" s="586"/>
      <c r="AQ290" s="586"/>
      <c r="AR290" s="586"/>
      <c r="AS290" s="586"/>
      <c r="AT290" s="586"/>
      <c r="AU290" s="586"/>
      <c r="AV290" s="586"/>
      <c r="AW290" s="586"/>
      <c r="AX290" s="586"/>
      <c r="AY290" s="586"/>
      <c r="AZ290" s="586"/>
      <c r="BA290" s="586"/>
      <c r="BB290" s="586"/>
      <c r="BC290" s="586"/>
      <c r="BD290" s="586"/>
      <c r="BE290" s="586"/>
      <c r="BF290" s="586"/>
      <c r="BG290" s="586"/>
      <c r="BH290" s="586"/>
      <c r="BI290" s="586"/>
      <c r="BJ290" s="586"/>
      <c r="BK290" s="586"/>
      <c r="BL290" s="586"/>
      <c r="BM290" s="586"/>
      <c r="BN290" s="586"/>
      <c r="BO290" s="586"/>
      <c r="BP290" s="586"/>
      <c r="BQ290" s="586"/>
      <c r="BR290" s="586"/>
      <c r="BS290" s="586"/>
    </row>
    <row r="291" spans="2:71" s="574" customFormat="1" ht="15.75" x14ac:dyDescent="0.25">
      <c r="B291" s="572" t="s">
        <v>242</v>
      </c>
      <c r="C291" s="553"/>
      <c r="D291" s="553"/>
      <c r="E291" s="579"/>
      <c r="F291" s="579"/>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6"/>
      <c r="AL291" s="586"/>
      <c r="AM291" s="586"/>
      <c r="AN291" s="586"/>
      <c r="AO291" s="586"/>
      <c r="AP291" s="586"/>
      <c r="AQ291" s="586"/>
      <c r="AR291" s="586"/>
      <c r="AS291" s="586"/>
      <c r="AT291" s="586"/>
      <c r="AU291" s="586"/>
      <c r="AV291" s="586"/>
      <c r="AW291" s="586"/>
      <c r="AX291" s="586"/>
      <c r="AY291" s="586"/>
      <c r="AZ291" s="586"/>
      <c r="BA291" s="586"/>
      <c r="BB291" s="586"/>
      <c r="BC291" s="586"/>
      <c r="BD291" s="586"/>
      <c r="BE291" s="586"/>
      <c r="BF291" s="586"/>
      <c r="BG291" s="586"/>
      <c r="BH291" s="586"/>
      <c r="BI291" s="586"/>
      <c r="BJ291" s="586"/>
      <c r="BK291" s="586"/>
      <c r="BL291" s="586"/>
      <c r="BM291" s="586"/>
      <c r="BN291" s="586"/>
      <c r="BO291" s="586"/>
      <c r="BP291" s="586"/>
      <c r="BQ291" s="586"/>
      <c r="BR291" s="586"/>
      <c r="BS291" s="586"/>
    </row>
    <row r="292" spans="2:71" s="574" customFormat="1" ht="15.75" x14ac:dyDescent="0.25">
      <c r="B292" s="572"/>
      <c r="C292" s="553"/>
      <c r="D292" s="553"/>
      <c r="E292" s="579"/>
      <c r="F292" s="579"/>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6"/>
      <c r="AL292" s="586"/>
      <c r="AM292" s="586"/>
      <c r="AN292" s="586"/>
      <c r="AO292" s="586"/>
      <c r="AP292" s="586"/>
      <c r="AQ292" s="586"/>
      <c r="AR292" s="586"/>
      <c r="AS292" s="586"/>
      <c r="AT292" s="586"/>
      <c r="AU292" s="586"/>
      <c r="AV292" s="586"/>
      <c r="AW292" s="586"/>
      <c r="AX292" s="586"/>
      <c r="AY292" s="586"/>
      <c r="AZ292" s="586"/>
      <c r="BA292" s="586"/>
      <c r="BB292" s="586"/>
      <c r="BC292" s="586"/>
      <c r="BD292" s="586"/>
      <c r="BE292" s="586"/>
      <c r="BF292" s="586"/>
      <c r="BG292" s="586"/>
      <c r="BH292" s="586"/>
      <c r="BI292" s="586"/>
      <c r="BJ292" s="586"/>
      <c r="BK292" s="586"/>
      <c r="BL292" s="586"/>
      <c r="BM292" s="586"/>
      <c r="BN292" s="586"/>
      <c r="BO292" s="586"/>
      <c r="BP292" s="586"/>
      <c r="BQ292" s="586"/>
      <c r="BR292" s="586"/>
      <c r="BS292" s="586"/>
    </row>
    <row r="293" spans="2:71" s="574" customFormat="1" x14ac:dyDescent="0.2">
      <c r="B293" s="535" t="s">
        <v>1100</v>
      </c>
      <c r="C293" s="553"/>
      <c r="D293" s="553"/>
      <c r="E293" s="579"/>
      <c r="F293" s="579"/>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6"/>
      <c r="AL293" s="586"/>
      <c r="AM293" s="586"/>
      <c r="AN293" s="586"/>
      <c r="AO293" s="586"/>
      <c r="AP293" s="586"/>
      <c r="AQ293" s="586"/>
      <c r="AR293" s="586"/>
      <c r="AS293" s="586"/>
      <c r="AT293" s="586"/>
      <c r="AU293" s="586"/>
      <c r="AV293" s="586"/>
      <c r="AW293" s="586"/>
      <c r="AX293" s="586"/>
      <c r="AY293" s="586"/>
      <c r="AZ293" s="586"/>
      <c r="BA293" s="586"/>
      <c r="BB293" s="586"/>
      <c r="BC293" s="586"/>
      <c r="BD293" s="586"/>
      <c r="BE293" s="586"/>
      <c r="BF293" s="586"/>
      <c r="BG293" s="586"/>
      <c r="BH293" s="586"/>
      <c r="BI293" s="586"/>
      <c r="BJ293" s="586"/>
      <c r="BK293" s="586"/>
      <c r="BL293" s="586"/>
      <c r="BM293" s="586"/>
      <c r="BN293" s="586"/>
      <c r="BO293" s="586"/>
      <c r="BP293" s="586"/>
      <c r="BQ293" s="586"/>
      <c r="BR293" s="586"/>
      <c r="BS293" s="586"/>
    </row>
    <row r="294" spans="2:71" s="574" customFormat="1" x14ac:dyDescent="0.2">
      <c r="B294" s="535" t="s">
        <v>370</v>
      </c>
      <c r="C294" s="553"/>
      <c r="D294" s="553"/>
      <c r="E294" s="579"/>
      <c r="F294" s="579"/>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6"/>
      <c r="AL294" s="586"/>
      <c r="AM294" s="586"/>
      <c r="AN294" s="586"/>
      <c r="AO294" s="586"/>
      <c r="AP294" s="586"/>
      <c r="AQ294" s="586"/>
      <c r="AR294" s="586"/>
      <c r="AS294" s="586"/>
      <c r="AT294" s="586"/>
      <c r="AU294" s="586"/>
      <c r="AV294" s="586"/>
      <c r="AW294" s="586"/>
      <c r="AX294" s="586"/>
      <c r="AY294" s="586"/>
      <c r="AZ294" s="586"/>
      <c r="BA294" s="586"/>
      <c r="BB294" s="586"/>
      <c r="BC294" s="586"/>
      <c r="BD294" s="586"/>
      <c r="BE294" s="586"/>
      <c r="BF294" s="586"/>
      <c r="BG294" s="586"/>
      <c r="BH294" s="586"/>
      <c r="BI294" s="586"/>
      <c r="BJ294" s="586"/>
      <c r="BK294" s="586"/>
      <c r="BL294" s="586"/>
      <c r="BM294" s="586"/>
      <c r="BN294" s="586"/>
      <c r="BO294" s="586"/>
      <c r="BP294" s="586"/>
      <c r="BQ294" s="586"/>
      <c r="BR294" s="586"/>
      <c r="BS294" s="586"/>
    </row>
    <row r="295" spans="2:71" s="574" customFormat="1" x14ac:dyDescent="0.2">
      <c r="B295" s="579"/>
      <c r="C295" s="553"/>
      <c r="D295" s="553"/>
      <c r="E295" s="579"/>
      <c r="F295" s="579"/>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6"/>
      <c r="AL295" s="586"/>
      <c r="AM295" s="586"/>
      <c r="AN295" s="586"/>
      <c r="AO295" s="586"/>
      <c r="AP295" s="586"/>
      <c r="AQ295" s="586"/>
      <c r="AR295" s="586"/>
      <c r="AS295" s="586"/>
      <c r="AT295" s="586"/>
      <c r="AU295" s="586"/>
      <c r="AV295" s="586"/>
      <c r="AW295" s="586"/>
      <c r="AX295" s="586"/>
      <c r="AY295" s="586"/>
      <c r="AZ295" s="586"/>
      <c r="BA295" s="586"/>
      <c r="BB295" s="586"/>
      <c r="BC295" s="586"/>
      <c r="BD295" s="586"/>
      <c r="BE295" s="586"/>
      <c r="BF295" s="586"/>
      <c r="BG295" s="586"/>
      <c r="BH295" s="586"/>
      <c r="BI295" s="586"/>
      <c r="BJ295" s="586"/>
      <c r="BK295" s="586"/>
      <c r="BL295" s="586"/>
      <c r="BM295" s="586"/>
      <c r="BN295" s="586"/>
      <c r="BO295" s="586"/>
      <c r="BP295" s="586"/>
      <c r="BQ295" s="586"/>
      <c r="BR295" s="586"/>
      <c r="BS295" s="586"/>
    </row>
    <row r="296" spans="2:71" s="574" customFormat="1" x14ac:dyDescent="0.2">
      <c r="B296" s="591" t="s">
        <v>243</v>
      </c>
      <c r="D296" s="592">
        <v>3750</v>
      </c>
      <c r="E296" s="579"/>
      <c r="F296" s="579"/>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6"/>
      <c r="AL296" s="586"/>
      <c r="AM296" s="586"/>
      <c r="AN296" s="586"/>
      <c r="AO296" s="586"/>
      <c r="AP296" s="586"/>
      <c r="AQ296" s="586"/>
      <c r="AR296" s="586"/>
      <c r="AS296" s="586"/>
      <c r="AT296" s="586"/>
      <c r="AU296" s="586"/>
      <c r="AV296" s="586"/>
      <c r="AW296" s="586"/>
      <c r="AX296" s="586"/>
      <c r="AY296" s="586"/>
      <c r="AZ296" s="586"/>
      <c r="BA296" s="586"/>
      <c r="BB296" s="586"/>
      <c r="BC296" s="586"/>
      <c r="BD296" s="586"/>
      <c r="BE296" s="586"/>
      <c r="BF296" s="586"/>
      <c r="BG296" s="586"/>
      <c r="BH296" s="586"/>
      <c r="BI296" s="586"/>
      <c r="BJ296" s="586"/>
      <c r="BK296" s="586"/>
      <c r="BL296" s="586"/>
      <c r="BM296" s="586"/>
      <c r="BN296" s="586"/>
      <c r="BO296" s="586"/>
      <c r="BP296" s="586"/>
      <c r="BQ296" s="586"/>
      <c r="BR296" s="586"/>
      <c r="BS296" s="586"/>
    </row>
    <row r="297" spans="2:71" s="574" customFormat="1" x14ac:dyDescent="0.2">
      <c r="B297" s="579"/>
      <c r="C297" s="553"/>
      <c r="D297" s="553"/>
      <c r="E297" s="579"/>
      <c r="F297" s="579"/>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6"/>
      <c r="AL297" s="586"/>
      <c r="AM297" s="586"/>
      <c r="AN297" s="586"/>
      <c r="AO297" s="586"/>
      <c r="AP297" s="586"/>
      <c r="AQ297" s="586"/>
      <c r="AR297" s="586"/>
      <c r="AS297" s="586"/>
      <c r="AT297" s="586"/>
      <c r="AU297" s="586"/>
      <c r="AV297" s="586"/>
      <c r="AW297" s="586"/>
      <c r="AX297" s="586"/>
      <c r="AY297" s="586"/>
      <c r="AZ297" s="586"/>
      <c r="BA297" s="586"/>
      <c r="BB297" s="586"/>
      <c r="BC297" s="586"/>
      <c r="BD297" s="586"/>
      <c r="BE297" s="586"/>
      <c r="BF297" s="586"/>
      <c r="BG297" s="586"/>
      <c r="BH297" s="586"/>
      <c r="BI297" s="586"/>
      <c r="BJ297" s="586"/>
      <c r="BK297" s="586"/>
      <c r="BL297" s="586"/>
      <c r="BM297" s="586"/>
      <c r="BN297" s="586"/>
      <c r="BO297" s="586"/>
      <c r="BP297" s="586"/>
      <c r="BQ297" s="586"/>
      <c r="BR297" s="586"/>
      <c r="BS297" s="586"/>
    </row>
    <row r="298" spans="2:71" s="574" customFormat="1" x14ac:dyDescent="0.2">
      <c r="B298" s="579" t="s">
        <v>362</v>
      </c>
      <c r="C298" s="553"/>
      <c r="D298" s="553"/>
      <c r="E298" s="579"/>
      <c r="F298" s="579"/>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6"/>
      <c r="AL298" s="586"/>
      <c r="AM298" s="586"/>
      <c r="AN298" s="586"/>
      <c r="AO298" s="586"/>
      <c r="AP298" s="586"/>
      <c r="AQ298" s="586"/>
      <c r="AR298" s="586"/>
      <c r="AS298" s="586"/>
      <c r="AT298" s="586"/>
      <c r="AU298" s="586"/>
      <c r="AV298" s="586"/>
      <c r="AW298" s="586"/>
      <c r="AX298" s="586"/>
      <c r="AY298" s="586"/>
      <c r="AZ298" s="586"/>
      <c r="BA298" s="586"/>
      <c r="BB298" s="586"/>
      <c r="BC298" s="586"/>
      <c r="BD298" s="586"/>
      <c r="BE298" s="586"/>
      <c r="BF298" s="586"/>
      <c r="BG298" s="586"/>
      <c r="BH298" s="586"/>
      <c r="BI298" s="586"/>
      <c r="BJ298" s="586"/>
      <c r="BK298" s="586"/>
      <c r="BL298" s="586"/>
      <c r="BM298" s="586"/>
      <c r="BN298" s="586"/>
      <c r="BO298" s="586"/>
      <c r="BP298" s="586"/>
      <c r="BQ298" s="586"/>
      <c r="BR298" s="586"/>
      <c r="BS298" s="586"/>
    </row>
    <row r="299" spans="2:71" s="574" customFormat="1" x14ac:dyDescent="0.2">
      <c r="B299" s="579"/>
      <c r="C299" s="553"/>
      <c r="D299" s="553"/>
      <c r="E299" s="579"/>
      <c r="F299" s="579"/>
      <c r="G299" s="586"/>
      <c r="H299" s="586"/>
      <c r="I299" s="586"/>
      <c r="J299" s="586"/>
      <c r="K299" s="586"/>
      <c r="L299" s="586"/>
      <c r="M299" s="586"/>
      <c r="N299" s="586"/>
      <c r="O299" s="586"/>
      <c r="P299" s="586"/>
      <c r="Q299" s="586"/>
      <c r="R299" s="586"/>
      <c r="S299" s="586"/>
      <c r="T299" s="586"/>
      <c r="U299" s="586"/>
      <c r="V299" s="586"/>
      <c r="W299" s="586"/>
      <c r="X299" s="586"/>
      <c r="Y299" s="586"/>
      <c r="Z299" s="586"/>
      <c r="AA299" s="586"/>
      <c r="AB299" s="586"/>
      <c r="AC299" s="586"/>
      <c r="AD299" s="586"/>
      <c r="AE299" s="586"/>
      <c r="AF299" s="586"/>
      <c r="AG299" s="586"/>
      <c r="AH299" s="586"/>
      <c r="AI299" s="586"/>
      <c r="AJ299" s="586"/>
      <c r="AK299" s="586"/>
      <c r="AL299" s="586"/>
      <c r="AM299" s="586"/>
      <c r="AN299" s="586"/>
      <c r="AO299" s="586"/>
      <c r="AP299" s="586"/>
      <c r="AQ299" s="586"/>
      <c r="AR299" s="586"/>
      <c r="AS299" s="586"/>
      <c r="AT299" s="586"/>
      <c r="AU299" s="586"/>
      <c r="AV299" s="586"/>
      <c r="AW299" s="586"/>
      <c r="AX299" s="586"/>
      <c r="AY299" s="586"/>
      <c r="AZ299" s="586"/>
      <c r="BA299" s="586"/>
      <c r="BB299" s="586"/>
      <c r="BC299" s="586"/>
      <c r="BD299" s="586"/>
      <c r="BE299" s="586"/>
      <c r="BF299" s="586"/>
      <c r="BG299" s="586"/>
      <c r="BH299" s="586"/>
      <c r="BI299" s="586"/>
      <c r="BJ299" s="586"/>
      <c r="BK299" s="586"/>
      <c r="BL299" s="586"/>
      <c r="BM299" s="586"/>
      <c r="BN299" s="586"/>
      <c r="BO299" s="586"/>
      <c r="BP299" s="586"/>
      <c r="BQ299" s="586"/>
      <c r="BR299" s="586"/>
      <c r="BS299" s="586"/>
    </row>
    <row r="300" spans="2:71" s="574" customFormat="1" x14ac:dyDescent="0.2">
      <c r="C300" s="577"/>
      <c r="D300" s="553"/>
      <c r="E300" s="586"/>
      <c r="F300" s="586"/>
      <c r="G300" s="586"/>
      <c r="H300" s="586"/>
      <c r="I300" s="586"/>
      <c r="J300" s="586"/>
      <c r="K300" s="586"/>
      <c r="L300" s="586"/>
      <c r="M300" s="586"/>
      <c r="N300" s="586"/>
      <c r="O300" s="586"/>
      <c r="P300" s="586"/>
      <c r="Q300" s="586"/>
      <c r="R300" s="586"/>
      <c r="S300" s="586"/>
      <c r="T300" s="586"/>
      <c r="U300" s="586"/>
      <c r="V300" s="586"/>
      <c r="W300" s="586"/>
      <c r="X300" s="586"/>
      <c r="Y300" s="586"/>
      <c r="Z300" s="586"/>
      <c r="AA300" s="586"/>
      <c r="AB300" s="586"/>
      <c r="AC300" s="586"/>
      <c r="AD300" s="586"/>
      <c r="AE300" s="586"/>
      <c r="AF300" s="586"/>
      <c r="AG300" s="586"/>
      <c r="AH300" s="586"/>
      <c r="AI300" s="586"/>
      <c r="AJ300" s="586"/>
      <c r="AK300" s="586"/>
      <c r="AL300" s="586"/>
      <c r="AM300" s="586"/>
      <c r="AN300" s="586"/>
      <c r="AO300" s="586"/>
      <c r="AP300" s="586"/>
      <c r="AQ300" s="586"/>
      <c r="AR300" s="586"/>
      <c r="AS300" s="586"/>
      <c r="AT300" s="586"/>
      <c r="AU300" s="586"/>
      <c r="AV300" s="586"/>
      <c r="AW300" s="586"/>
      <c r="AX300" s="586"/>
      <c r="AY300" s="586"/>
      <c r="AZ300" s="586"/>
      <c r="BA300" s="586"/>
      <c r="BB300" s="586"/>
      <c r="BC300" s="586"/>
      <c r="BD300" s="586"/>
      <c r="BE300" s="586"/>
      <c r="BF300" s="586"/>
      <c r="BG300" s="586"/>
      <c r="BH300" s="586"/>
      <c r="BI300" s="586"/>
      <c r="BJ300" s="586"/>
      <c r="BK300" s="586"/>
      <c r="BL300" s="586"/>
      <c r="BM300" s="586"/>
      <c r="BN300" s="586"/>
      <c r="BO300" s="586"/>
      <c r="BP300" s="586"/>
      <c r="BQ300" s="586"/>
      <c r="BR300" s="586"/>
      <c r="BS300" s="586"/>
    </row>
    <row r="301" spans="2:71" s="574" customFormat="1" ht="15.75" x14ac:dyDescent="0.25">
      <c r="B301" s="835"/>
    </row>
    <row r="302" spans="2:71" s="574" customFormat="1" x14ac:dyDescent="0.2"/>
    <row r="303" spans="2:71" s="574" customFormat="1" x14ac:dyDescent="0.2"/>
    <row r="304" spans="2:71" s="574" customFormat="1" x14ac:dyDescent="0.2"/>
    <row r="305" s="574" customFormat="1" x14ac:dyDescent="0.2"/>
    <row r="306" s="574" customFormat="1" x14ac:dyDescent="0.2"/>
    <row r="307" s="574" customFormat="1" x14ac:dyDescent="0.2"/>
    <row r="308" s="574" customFormat="1" x14ac:dyDescent="0.2"/>
    <row r="309" s="574" customFormat="1" x14ac:dyDescent="0.2"/>
    <row r="310" s="574" customFormat="1" x14ac:dyDescent="0.2"/>
    <row r="311" s="574" customFormat="1" x14ac:dyDescent="0.2"/>
    <row r="312" s="574" customFormat="1" x14ac:dyDescent="0.2"/>
    <row r="313" s="574" customFormat="1" x14ac:dyDescent="0.2"/>
    <row r="314" s="574" customFormat="1" x14ac:dyDescent="0.2"/>
    <row r="315" s="574" customFormat="1" x14ac:dyDescent="0.2"/>
    <row r="316" s="574" customFormat="1" x14ac:dyDescent="0.2"/>
    <row r="317" s="574" customFormat="1" x14ac:dyDescent="0.2"/>
    <row r="318" s="574" customFormat="1" x14ac:dyDescent="0.2"/>
    <row r="319" s="574" customFormat="1" x14ac:dyDescent="0.2"/>
    <row r="320" s="574" customFormat="1" x14ac:dyDescent="0.2"/>
    <row r="321" s="574" customFormat="1" x14ac:dyDescent="0.2"/>
    <row r="322" s="574" customFormat="1" x14ac:dyDescent="0.2"/>
    <row r="323" s="574" customFormat="1" x14ac:dyDescent="0.2"/>
    <row r="324" s="574" customFormat="1" x14ac:dyDescent="0.2"/>
    <row r="325" s="574" customFormat="1" x14ac:dyDescent="0.2"/>
    <row r="326" s="574" customFormat="1" x14ac:dyDescent="0.2"/>
    <row r="327" s="574" customFormat="1" x14ac:dyDescent="0.2"/>
    <row r="328" s="574" customFormat="1" x14ac:dyDescent="0.2"/>
    <row r="329" s="574" customFormat="1" x14ac:dyDescent="0.2"/>
    <row r="330" s="574" customFormat="1" x14ac:dyDescent="0.2"/>
    <row r="331" s="574" customFormat="1" x14ac:dyDescent="0.2"/>
    <row r="332" s="574" customFormat="1" x14ac:dyDescent="0.2"/>
    <row r="333" s="574" customFormat="1" x14ac:dyDescent="0.2"/>
    <row r="334" s="574" customFormat="1" x14ac:dyDescent="0.2"/>
    <row r="335" s="574" customFormat="1" x14ac:dyDescent="0.2"/>
    <row r="336" s="574" customFormat="1" x14ac:dyDescent="0.2"/>
    <row r="337" s="574" customFormat="1" x14ac:dyDescent="0.2"/>
    <row r="338" s="574" customFormat="1" x14ac:dyDescent="0.2"/>
    <row r="339" s="574" customFormat="1" x14ac:dyDescent="0.2"/>
    <row r="340" s="574" customFormat="1" x14ac:dyDescent="0.2"/>
    <row r="341" s="574" customFormat="1" x14ac:dyDescent="0.2"/>
    <row r="342" s="574" customFormat="1" x14ac:dyDescent="0.2"/>
    <row r="343" s="574" customFormat="1" x14ac:dyDescent="0.2"/>
    <row r="344" s="574" customFormat="1" x14ac:dyDescent="0.2"/>
    <row r="345" s="574" customFormat="1" x14ac:dyDescent="0.2"/>
    <row r="346" s="574" customFormat="1" x14ac:dyDescent="0.2"/>
    <row r="347" s="574" customFormat="1" x14ac:dyDescent="0.2"/>
    <row r="348" s="574" customFormat="1" x14ac:dyDescent="0.2"/>
    <row r="349" s="574" customFormat="1" x14ac:dyDescent="0.2"/>
    <row r="350" s="574" customFormat="1" x14ac:dyDescent="0.2"/>
    <row r="351" s="574" customFormat="1" x14ac:dyDescent="0.2"/>
    <row r="352" s="574" customFormat="1" x14ac:dyDescent="0.2"/>
    <row r="353" s="574" customFormat="1" x14ac:dyDescent="0.2"/>
    <row r="354" s="574" customFormat="1" x14ac:dyDescent="0.2"/>
    <row r="355" s="574" customFormat="1" x14ac:dyDescent="0.2"/>
    <row r="356" s="574" customFormat="1" x14ac:dyDescent="0.2"/>
    <row r="357" s="574" customFormat="1" x14ac:dyDescent="0.2"/>
    <row r="358" s="574" customFormat="1" x14ac:dyDescent="0.2"/>
    <row r="359" s="574" customFormat="1" x14ac:dyDescent="0.2"/>
    <row r="360" s="574" customFormat="1" x14ac:dyDescent="0.2"/>
    <row r="361" s="574" customFormat="1" x14ac:dyDescent="0.2"/>
    <row r="362" s="574" customFormat="1" x14ac:dyDescent="0.2"/>
    <row r="363" s="574" customFormat="1" x14ac:dyDescent="0.2"/>
    <row r="364" s="574" customFormat="1" x14ac:dyDescent="0.2"/>
    <row r="365" s="574" customFormat="1" x14ac:dyDescent="0.2"/>
    <row r="366" s="574" customFormat="1" x14ac:dyDescent="0.2"/>
    <row r="367" s="574" customFormat="1" x14ac:dyDescent="0.2"/>
    <row r="368" s="574" customFormat="1" x14ac:dyDescent="0.2"/>
    <row r="369" s="574" customFormat="1" x14ac:dyDescent="0.2"/>
    <row r="370" s="574" customFormat="1" x14ac:dyDescent="0.2"/>
    <row r="371" s="574" customFormat="1" x14ac:dyDescent="0.2"/>
    <row r="372" s="574" customFormat="1" x14ac:dyDescent="0.2"/>
    <row r="373" s="574" customFormat="1" x14ac:dyDescent="0.2"/>
    <row r="374" s="574" customFormat="1" x14ac:dyDescent="0.2"/>
    <row r="375" s="574" customFormat="1" x14ac:dyDescent="0.2"/>
    <row r="376" s="574" customFormat="1" x14ac:dyDescent="0.2"/>
    <row r="377" s="574" customFormat="1" x14ac:dyDescent="0.2"/>
    <row r="378" s="574" customFormat="1" x14ac:dyDescent="0.2"/>
    <row r="379" s="574" customFormat="1" x14ac:dyDescent="0.2"/>
    <row r="380" s="574" customFormat="1" x14ac:dyDescent="0.2"/>
    <row r="381" s="574" customFormat="1" x14ac:dyDescent="0.2"/>
    <row r="382" s="574" customFormat="1" x14ac:dyDescent="0.2"/>
    <row r="383" s="574" customFormat="1" x14ac:dyDescent="0.2"/>
    <row r="384" s="574" customFormat="1" x14ac:dyDescent="0.2"/>
    <row r="385" s="574" customFormat="1" x14ac:dyDescent="0.2"/>
    <row r="386" s="574" customFormat="1" x14ac:dyDescent="0.2"/>
    <row r="387" s="574" customFormat="1" x14ac:dyDescent="0.2"/>
    <row r="388" s="574" customFormat="1" x14ac:dyDescent="0.2"/>
    <row r="389" s="574" customFormat="1" x14ac:dyDescent="0.2"/>
    <row r="390" s="574" customFormat="1" x14ac:dyDescent="0.2"/>
    <row r="391" s="574" customFormat="1" x14ac:dyDescent="0.2"/>
    <row r="392" s="574" customFormat="1" x14ac:dyDescent="0.2"/>
    <row r="393" s="574" customFormat="1" x14ac:dyDescent="0.2"/>
    <row r="394" s="574" customFormat="1" x14ac:dyDescent="0.2"/>
    <row r="395" s="574" customFormat="1" x14ac:dyDescent="0.2"/>
    <row r="396" s="574" customFormat="1" x14ac:dyDescent="0.2"/>
    <row r="397" s="574" customFormat="1" x14ac:dyDescent="0.2"/>
    <row r="398" s="574" customFormat="1" x14ac:dyDescent="0.2"/>
    <row r="399" s="574" customFormat="1" x14ac:dyDescent="0.2"/>
    <row r="400" s="574" customFormat="1" x14ac:dyDescent="0.2"/>
    <row r="401" s="574" customFormat="1" x14ac:dyDescent="0.2"/>
    <row r="402" s="574" customFormat="1" x14ac:dyDescent="0.2"/>
    <row r="403" s="574" customFormat="1" x14ac:dyDescent="0.2"/>
    <row r="404" s="574" customFormat="1" x14ac:dyDescent="0.2"/>
    <row r="405" s="574" customFormat="1" x14ac:dyDescent="0.2"/>
    <row r="406" s="574" customFormat="1" x14ac:dyDescent="0.2"/>
    <row r="407" s="574" customFormat="1" x14ac:dyDescent="0.2"/>
    <row r="408" s="574" customFormat="1" x14ac:dyDescent="0.2"/>
    <row r="409" s="574" customFormat="1" x14ac:dyDescent="0.2"/>
    <row r="410" s="574" customFormat="1" x14ac:dyDescent="0.2"/>
  </sheetData>
  <dataConsolidate/>
  <customSheetViews>
    <customSheetView guid="{F0620CD8-87A9-448D-9A15-FA44C9D2FC91}" scale="80">
      <pageMargins left="0.7" right="0.7" top="0.75" bottom="0.75" header="0.3" footer="0.3"/>
      <pageSetup paperSize="9" orientation="portrait" r:id="rId1"/>
    </customSheetView>
  </customSheetViews>
  <mergeCells count="16">
    <mergeCell ref="S143:T145"/>
    <mergeCell ref="G53:J53"/>
    <mergeCell ref="G58:J58"/>
    <mergeCell ref="D85:J85"/>
    <mergeCell ref="H27:J27"/>
    <mergeCell ref="H28:J28"/>
    <mergeCell ref="D84:J84"/>
    <mergeCell ref="G44:J44"/>
    <mergeCell ref="G45:J45"/>
    <mergeCell ref="G43:J43"/>
    <mergeCell ref="G47:J47"/>
    <mergeCell ref="G46:J46"/>
    <mergeCell ref="G48:J48"/>
    <mergeCell ref="G49:J49"/>
    <mergeCell ref="H30:J30"/>
    <mergeCell ref="G51:J51"/>
  </mergeCells>
  <dataValidations xWindow="626" yWindow="537" count="8">
    <dataValidation type="list" allowBlank="1" showInputMessage="1" showErrorMessage="1" sqref="J103:J119 J88:J95 J97:J101">
      <formula1>"Yes, No"</formula1>
    </dataValidation>
    <dataValidation allowBlank="1" showInputMessage="1" showErrorMessage="1" prompt="Edit this if you wish to._x000a__x000a_Descriptions should automatically appear for goods/services quantified in the Physical Flow Account sheet. If these don't appear, type in those you think can be valued, referring back to the RS G&amp;S sheet for suggestions." sqref="B88"/>
    <dataValidation type="list" allowBlank="1" showInputMessage="1" showErrorMessage="1" prompt="NE and/or others who pay NE for it e.g. water used by NNR, land let for grazing, wildfowling licences._x000a__x000a_Mostly others who don't pay NE for it e.g. recreation by public, research._x000a__x000a_If necessary, enter good/service separately for each beneficiary category. " sqref="C97:C101 C88:C95 C114:C119">
      <formula1>"NE &amp;/or others who pay NE for it,Mostly others who don't pay NE for it"</formula1>
    </dataValidation>
    <dataValidation allowBlank="1" showInputMessage="1" showErrorMessage="1" prompt="Edit this if you wish to._x000a__x000a_Enter any additional goods or services in the blank row at the bottom of each section." sqref="B97:B101 B103:B113 B89:B95"/>
    <dataValidation type="list" allowBlank="1" showInputMessage="1" showErrorMessage="1" error="Select Half Day or Full Day from drop down list." sqref="E63:E64">
      <formula1>$AA$1:$AA$2</formula1>
    </dataValidation>
    <dataValidation allowBlank="1" showInputMessage="1" showErrorMessage="1" sqref="B115:B119"/>
    <dataValidation allowBlank="1" showInputMessage="1" showErrorMessage="1" prompt="Enter total current revenue for a typical year (e.g. average for 5 recent typical years). _x000a_" sqref="E88:E95 E98:E101 E114:E119"/>
    <dataValidation type="list" allowBlank="1" showErrorMessage="1" sqref="C103:C113">
      <formula1>"NE &amp;/or others who pay NE for it,Mostly others who don't pay NE for it"</formula1>
    </dataValidation>
  </dataValidations>
  <hyperlinks>
    <hyperlink ref="B152" location="'Health Benefits'!A1" display="Go to the next sheet. "/>
    <hyperlink ref="C183" r:id="rId2"/>
    <hyperlink ref="B251" r:id="rId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vt:i4>
      </vt:variant>
    </vt:vector>
  </HeadingPairs>
  <TitlesOfParts>
    <vt:vector size="31" baseType="lpstr">
      <vt:lpstr>Intro</vt:lpstr>
      <vt:lpstr>Focus</vt:lpstr>
      <vt:lpstr>G &amp; S</vt:lpstr>
      <vt:lpstr>G &amp; S Initial</vt:lpstr>
      <vt:lpstr>G &amp; S Projections</vt:lpstr>
      <vt:lpstr>Indicators</vt:lpstr>
      <vt:lpstr>Cost Initial</vt:lpstr>
      <vt:lpstr>Cost Projections</vt:lpstr>
      <vt:lpstr>Values</vt:lpstr>
      <vt:lpstr>Health Benefits</vt:lpstr>
      <vt:lpstr>Capitals</vt:lpstr>
      <vt:lpstr>X G &amp; S Value</vt:lpstr>
      <vt:lpstr>X Net Asset Value</vt:lpstr>
      <vt:lpstr>X Economy Contrib</vt:lpstr>
      <vt:lpstr>Tip Prin</vt:lpstr>
      <vt:lpstr>Tip Tenant</vt:lpstr>
      <vt:lpstr>Tip Entering</vt:lpstr>
      <vt:lpstr>Tip G&amp;S</vt:lpstr>
      <vt:lpstr>Tip G&amp;SInitial</vt:lpstr>
      <vt:lpstr>Tip QuantInd</vt:lpstr>
      <vt:lpstr>Tip QualInd</vt:lpstr>
      <vt:lpstr>Tip OthInd</vt:lpstr>
      <vt:lpstr>Tip CostInitial</vt:lpstr>
      <vt:lpstr>Tip HEAT</vt:lpstr>
      <vt:lpstr>Tip Capitals</vt:lpstr>
      <vt:lpstr>X Graph Data &amp; Checks</vt:lpstr>
      <vt:lpstr>'X Economy Contrib'!_ftn1</vt:lpstr>
      <vt:lpstr>'X Economy Contrib'!_ftnref1</vt:lpstr>
      <vt:lpstr>Capitals!_GoBack</vt:lpstr>
      <vt:lpstr>EnvGSLevel</vt:lpstr>
      <vt:lpstr>Recipient</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m303700</dc:creator>
  <cp:lastModifiedBy>Scholz, Eva-Maria (NE)</cp:lastModifiedBy>
  <dcterms:created xsi:type="dcterms:W3CDTF">2015-12-08T11:21:04Z</dcterms:created>
  <dcterms:modified xsi:type="dcterms:W3CDTF">2020-08-04T07:00:12Z</dcterms:modified>
</cp:coreProperties>
</file>