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600" windowHeight="11760"/>
  </bookViews>
  <sheets>
    <sheet name="Totals &amp; PV" sheetId="7" r:id="rId1"/>
    <sheet name="rMCZs beyond 12nm " sheetId="5" r:id="rId2"/>
    <sheet name="rMCZs within 12nm" sheetId="6" r:id="rId3"/>
  </sheets>
  <calcPr calcId="125725"/>
</workbook>
</file>

<file path=xl/calcChain.xml><?xml version="1.0" encoding="utf-8"?>
<calcChain xmlns="http://schemas.openxmlformats.org/spreadsheetml/2006/main">
  <c r="B8" i="5"/>
  <c r="E8"/>
  <c r="D15"/>
  <c r="D16"/>
  <c r="D17"/>
  <c r="D18"/>
  <c r="D19"/>
  <c r="D20"/>
  <c r="D21"/>
  <c r="D22"/>
  <c r="D23"/>
  <c r="D24"/>
  <c r="D25"/>
  <c r="D26"/>
  <c r="F26"/>
  <c r="T13" i="7"/>
  <c r="T16" s="1"/>
  <c r="D27" i="5"/>
  <c r="D14"/>
  <c r="D28"/>
  <c r="C10"/>
  <c r="E10"/>
  <c r="D11" i="7"/>
  <c r="D15"/>
  <c r="C11" i="5"/>
  <c r="C12"/>
  <c r="C13"/>
  <c r="C9"/>
  <c r="C28"/>
  <c r="F25"/>
  <c r="S13" i="7"/>
  <c r="S16"/>
  <c r="B28" i="5"/>
  <c r="E11"/>
  <c r="E11" i="7"/>
  <c r="E15"/>
  <c r="F27" i="5"/>
  <c r="F24"/>
  <c r="R13" i="7"/>
  <c r="R16"/>
  <c r="F23" i="5"/>
  <c r="F22"/>
  <c r="F21"/>
  <c r="F20"/>
  <c r="N13" i="7"/>
  <c r="N16"/>
  <c r="F19" i="5"/>
  <c r="F18"/>
  <c r="F17"/>
  <c r="F16"/>
  <c r="J13" i="7"/>
  <c r="J16"/>
  <c r="F15" i="5"/>
  <c r="E13"/>
  <c r="G11" i="7"/>
  <c r="G15"/>
  <c r="E12" i="5"/>
  <c r="F11" i="7"/>
  <c r="F15" s="1"/>
  <c r="V15" s="1"/>
  <c r="W15" s="1"/>
  <c r="E9" i="5"/>
  <c r="G8"/>
  <c r="G9"/>
  <c r="G10"/>
  <c r="G11"/>
  <c r="F14"/>
  <c r="F28"/>
  <c r="H28" i="6"/>
  <c r="G15"/>
  <c r="G16"/>
  <c r="G17"/>
  <c r="G18"/>
  <c r="G19"/>
  <c r="G20"/>
  <c r="G21"/>
  <c r="G22"/>
  <c r="G23"/>
  <c r="G24"/>
  <c r="G25"/>
  <c r="G26"/>
  <c r="G27"/>
  <c r="G14"/>
  <c r="F15"/>
  <c r="F16"/>
  <c r="F17"/>
  <c r="F18"/>
  <c r="F19"/>
  <c r="F20"/>
  <c r="F21"/>
  <c r="F22"/>
  <c r="F23"/>
  <c r="F24"/>
  <c r="F25"/>
  <c r="F26"/>
  <c r="F27"/>
  <c r="F14"/>
  <c r="E10"/>
  <c r="E11"/>
  <c r="E12"/>
  <c r="E13"/>
  <c r="E9"/>
  <c r="E8"/>
  <c r="D9"/>
  <c r="D10"/>
  <c r="D11"/>
  <c r="D12"/>
  <c r="D13"/>
  <c r="D8"/>
  <c r="C9"/>
  <c r="C8"/>
  <c r="B9"/>
  <c r="B8"/>
  <c r="D28"/>
  <c r="H9"/>
  <c r="H8"/>
  <c r="B28"/>
  <c r="C28"/>
  <c r="E28"/>
  <c r="F28"/>
  <c r="G28"/>
  <c r="I15"/>
  <c r="I16"/>
  <c r="I17"/>
  <c r="I18"/>
  <c r="I19"/>
  <c r="I20"/>
  <c r="I21"/>
  <c r="I22"/>
  <c r="I23"/>
  <c r="I24"/>
  <c r="I25"/>
  <c r="I26"/>
  <c r="I27"/>
  <c r="I14"/>
  <c r="H10"/>
  <c r="H11"/>
  <c r="H12"/>
  <c r="H13"/>
  <c r="U15" i="7"/>
  <c r="S15"/>
  <c r="R15"/>
  <c r="R17" s="1"/>
  <c r="Q15"/>
  <c r="O15"/>
  <c r="N15"/>
  <c r="M15"/>
  <c r="K15"/>
  <c r="J15"/>
  <c r="J17" s="1"/>
  <c r="I15"/>
  <c r="P13"/>
  <c r="P16" s="1"/>
  <c r="L13"/>
  <c r="L16" s="1"/>
  <c r="H13"/>
  <c r="H16" s="1"/>
  <c r="T15"/>
  <c r="P15"/>
  <c r="L15"/>
  <c r="H15"/>
  <c r="G16"/>
  <c r="G17" s="1"/>
  <c r="F16"/>
  <c r="E16"/>
  <c r="D16"/>
  <c r="C16"/>
  <c r="C17" s="1"/>
  <c r="B16"/>
  <c r="I13"/>
  <c r="I16" s="1"/>
  <c r="I17" s="1"/>
  <c r="K13"/>
  <c r="K16"/>
  <c r="K17" s="1"/>
  <c r="M13"/>
  <c r="M16" s="1"/>
  <c r="M17" s="1"/>
  <c r="O13"/>
  <c r="O16"/>
  <c r="O17" s="1"/>
  <c r="Q13"/>
  <c r="Q16" s="1"/>
  <c r="Q17" s="1"/>
  <c r="U13"/>
  <c r="U16"/>
  <c r="U17" s="1"/>
  <c r="I28" i="6"/>
  <c r="C11" i="7"/>
  <c r="C15"/>
  <c r="E28" i="5"/>
  <c r="B11" i="7"/>
  <c r="B15"/>
  <c r="B17" s="1"/>
  <c r="E17"/>
  <c r="V11"/>
  <c r="W11"/>
  <c r="V16" l="1"/>
  <c r="W16" s="1"/>
  <c r="T17"/>
  <c r="V13"/>
  <c r="W13" s="1"/>
  <c r="D17"/>
  <c r="F17"/>
  <c r="H17"/>
  <c r="P17"/>
  <c r="N17"/>
  <c r="S17"/>
  <c r="L17"/>
  <c r="V17"/>
  <c r="W17" s="1"/>
  <c r="V18"/>
</calcChain>
</file>

<file path=xl/sharedStrings.xml><?xml version="1.0" encoding="utf-8"?>
<sst xmlns="http://schemas.openxmlformats.org/spreadsheetml/2006/main" count="73" uniqueCount="33">
  <si>
    <t>Year</t>
  </si>
  <si>
    <t>Verification cost</t>
  </si>
  <si>
    <t>Cost of monitoring sites once every reporting cycle</t>
  </si>
  <si>
    <t>£m</t>
  </si>
  <si>
    <t>Verification cost sites inside 6nm</t>
  </si>
  <si>
    <t>Verification cost sites between 6 &amp; 12 nm</t>
  </si>
  <si>
    <t>Surveys for baseline setting for sites inside 6nm</t>
  </si>
  <si>
    <t>Surveys for baseline setting for sites between 6 &amp; 12 nm</t>
  </si>
  <si>
    <t>Cost of monitoring sites inside 6 nm once every reporting cycle</t>
  </si>
  <si>
    <t>Cost of monitoring sites between 6 &amp;12 nm once every reporting cycle</t>
  </si>
  <si>
    <t xml:space="preserve">*Present value is calculated as total cost multiplied by discount factor.  The discount factor is calculated using a discount rate of 3.5% (based on guidance in H.M. Treasury (2007)). Discounting is used to reflect society’s preference to defer costs to future generations (and to receive goods and services sooner rather than later). </t>
  </si>
  <si>
    <t>Total</t>
  </si>
  <si>
    <t>Total Costs</t>
  </si>
  <si>
    <t>Total one-off costs</t>
  </si>
  <si>
    <t>Total annual costs</t>
  </si>
  <si>
    <t>-</t>
  </si>
  <si>
    <t>Present value of total cost</t>
  </si>
  <si>
    <t>Total recurrent costs</t>
  </si>
  <si>
    <t xml:space="preserve">Summary table showing the calculations underpinning estimates for verification surveys and subsequent monitoring for inshore MCZs </t>
  </si>
  <si>
    <t xml:space="preserve">Surveys for baseline setting </t>
  </si>
  <si>
    <t xml:space="preserve">Summary table showing the calculations underpinning estimates for verification surveys and subsequent monitoring for offshore MCZs </t>
  </si>
  <si>
    <t>Number of year in analysis</t>
  </si>
  <si>
    <t>All Regional Project Areas Total</t>
  </si>
  <si>
    <t>One off costs for verification and baseline surveys</t>
  </si>
  <si>
    <t>Annual costs for monitoring surveys</t>
  </si>
  <si>
    <t>rMCZs beyond 12nm</t>
  </si>
  <si>
    <t>MCZ IA Calculations: MCZ verification, baseline setting and monitoring surveys: Offshore MCZs (beyond 12nm)</t>
  </si>
  <si>
    <t>rMCZ network Present Value (PV) Costs (£millions; constant prices)</t>
  </si>
  <si>
    <t xml:space="preserve">MCZ IA Calculations: MCZ verification, baseline setting and monitoring surveys: Total and Present Value of costs </t>
  </si>
  <si>
    <t>Annual Average</t>
  </si>
  <si>
    <t>rMCZs within 12nm</t>
  </si>
  <si>
    <t>MCZ IA Calculations: MCZ verification, baseline setting and monitoring surveys: Inshore MCZs (within 12nm)</t>
  </si>
  <si>
    <r>
      <t>Annex N8 from Finding Sanctuary, Irish Seas Conservation Zones, Net Gain and Balanced Seas. 2012.</t>
    </r>
    <r>
      <rPr>
        <i/>
        <sz val="10"/>
        <color theme="1"/>
        <rFont val="Arial"/>
        <family val="2"/>
      </rPr>
      <t xml:space="preserve"> Impact Assessment materials in support of the Regional Marine Conservation Zone Projects’ Recommendations.</t>
    </r>
  </si>
</sst>
</file>

<file path=xl/styles.xml><?xml version="1.0" encoding="utf-8"?>
<styleSheet xmlns="http://schemas.openxmlformats.org/spreadsheetml/2006/main">
  <numFmts count="4">
    <numFmt numFmtId="164" formatCode="0.000"/>
    <numFmt numFmtId="165" formatCode="_-* #,##0.000_-;\-* #,##0.000_-;_-* &quot;-&quot;??_-;_-@_-"/>
    <numFmt numFmtId="166" formatCode="0.0000"/>
    <numFmt numFmtId="167" formatCode="0.000000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1" xfId="0" applyFont="1" applyBorder="1"/>
    <xf numFmtId="0" fontId="5" fillId="0" borderId="0" xfId="0" applyFont="1"/>
    <xf numFmtId="0" fontId="4" fillId="0" borderId="2" xfId="0" applyFont="1" applyBorder="1"/>
    <xf numFmtId="0" fontId="6" fillId="0" borderId="0" xfId="0" applyFont="1"/>
    <xf numFmtId="164" fontId="5" fillId="0" borderId="0" xfId="0" applyNumberFormat="1" applyFont="1"/>
    <xf numFmtId="164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0" borderId="2" xfId="0" quotePrefix="1" applyNumberFormat="1" applyFont="1" applyBorder="1" applyAlignment="1">
      <alignment horizontal="right"/>
    </xf>
    <xf numFmtId="164" fontId="4" fillId="0" borderId="2" xfId="0" applyNumberFormat="1" applyFont="1" applyBorder="1"/>
    <xf numFmtId="0" fontId="5" fillId="0" borderId="1" xfId="0" applyFont="1" applyBorder="1"/>
    <xf numFmtId="0" fontId="6" fillId="0" borderId="0" xfId="0" applyFont="1" applyBorder="1"/>
    <xf numFmtId="0" fontId="5" fillId="0" borderId="0" xfId="0" applyFont="1" applyBorder="1" applyAlignment="1">
      <alignment wrapText="1"/>
    </xf>
    <xf numFmtId="164" fontId="4" fillId="0" borderId="0" xfId="0" applyNumberFormat="1" applyFont="1" applyBorder="1"/>
    <xf numFmtId="0" fontId="3" fillId="0" borderId="0" xfId="0" applyFont="1"/>
    <xf numFmtId="0" fontId="5" fillId="0" borderId="3" xfId="0" applyFont="1" applyBorder="1" applyAlignment="1">
      <alignment horizontal="center"/>
    </xf>
    <xf numFmtId="167" fontId="5" fillId="0" borderId="0" xfId="0" applyNumberFormat="1" applyFont="1"/>
    <xf numFmtId="0" fontId="5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165" fontId="5" fillId="0" borderId="3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/>
    <xf numFmtId="0" fontId="10" fillId="0" borderId="0" xfId="0" applyFont="1"/>
    <xf numFmtId="0" fontId="12" fillId="0" borderId="2" xfId="0" applyFont="1" applyBorder="1"/>
    <xf numFmtId="0" fontId="10" fillId="0" borderId="2" xfId="0" applyFont="1" applyBorder="1"/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4" fillId="2" borderId="3" xfId="0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horizontal="right" wrapText="1"/>
    </xf>
    <xf numFmtId="164" fontId="13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 wrapText="1"/>
    </xf>
    <xf numFmtId="0" fontId="14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0" fontId="4" fillId="2" borderId="3" xfId="0" applyFont="1" applyFill="1" applyBorder="1" applyAlignment="1"/>
    <xf numFmtId="0" fontId="3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="80" zoomScaleNormal="80" workbookViewId="0"/>
  </sheetViews>
  <sheetFormatPr defaultRowHeight="14.25"/>
  <cols>
    <col min="1" max="1" width="27.85546875" style="30" customWidth="1"/>
    <col min="2" max="21" width="7.42578125" style="30" customWidth="1"/>
    <col min="22" max="23" width="11.7109375" style="30" customWidth="1"/>
    <col min="24" max="16384" width="9.140625" style="30"/>
  </cols>
  <sheetData>
    <row r="1" spans="1:25" s="27" customFormat="1" ht="30" customHeight="1">
      <c r="A1" s="12" t="s">
        <v>28</v>
      </c>
      <c r="B1" s="26"/>
      <c r="C1" s="26"/>
      <c r="D1" s="26"/>
      <c r="E1" s="26"/>
      <c r="F1" s="26"/>
      <c r="G1" s="26"/>
      <c r="H1" s="26"/>
      <c r="I1" s="26"/>
      <c r="J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5" s="29" customFormat="1">
      <c r="A2" s="43" t="s">
        <v>32</v>
      </c>
      <c r="B2" s="28"/>
      <c r="C2" s="28"/>
      <c r="D2" s="28"/>
      <c r="E2" s="28"/>
      <c r="F2" s="28"/>
      <c r="G2" s="28"/>
      <c r="H2" s="28"/>
      <c r="I2" s="28"/>
      <c r="J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5" s="29" customFormat="1">
      <c r="A3" s="43"/>
      <c r="B3" s="28"/>
      <c r="C3" s="28"/>
      <c r="D3" s="28"/>
      <c r="E3" s="28"/>
      <c r="F3" s="28"/>
      <c r="G3" s="28"/>
      <c r="H3" s="28"/>
      <c r="I3" s="28"/>
      <c r="J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5">
      <c r="A4" s="2" t="s">
        <v>27</v>
      </c>
      <c r="B4" s="31"/>
      <c r="C4" s="31"/>
      <c r="D4" s="31"/>
      <c r="E4" s="31"/>
      <c r="F4" s="31"/>
      <c r="G4" s="31"/>
      <c r="H4" s="31"/>
      <c r="I4" s="31"/>
      <c r="J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5" ht="29.25" customHeight="1">
      <c r="A5" s="56" t="s">
        <v>10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Y5" s="31"/>
    </row>
    <row r="6" spans="1:25" ht="16.5" thickBo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5">
      <c r="A7" s="48" t="s">
        <v>0</v>
      </c>
      <c r="B7" s="49">
        <v>2013</v>
      </c>
      <c r="C7" s="49">
        <v>2014</v>
      </c>
      <c r="D7" s="49">
        <v>2015</v>
      </c>
      <c r="E7" s="49">
        <v>2016</v>
      </c>
      <c r="F7" s="49">
        <v>2017</v>
      </c>
      <c r="G7" s="49">
        <v>2018</v>
      </c>
      <c r="H7" s="49">
        <v>2019</v>
      </c>
      <c r="I7" s="49">
        <v>2020</v>
      </c>
      <c r="J7" s="49">
        <v>2021</v>
      </c>
      <c r="K7" s="49">
        <v>2022</v>
      </c>
      <c r="L7" s="49">
        <v>2023</v>
      </c>
      <c r="M7" s="49">
        <v>2024</v>
      </c>
      <c r="N7" s="49">
        <v>2025</v>
      </c>
      <c r="O7" s="49">
        <v>2026</v>
      </c>
      <c r="P7" s="49">
        <v>2027</v>
      </c>
      <c r="Q7" s="49">
        <v>2028</v>
      </c>
      <c r="R7" s="49">
        <v>2029</v>
      </c>
      <c r="S7" s="49">
        <v>2030</v>
      </c>
      <c r="T7" s="49">
        <v>2031</v>
      </c>
      <c r="U7" s="49">
        <v>2032</v>
      </c>
      <c r="V7" s="52" t="s">
        <v>11</v>
      </c>
      <c r="W7" s="54" t="s">
        <v>29</v>
      </c>
    </row>
    <row r="8" spans="1:25" ht="15" thickBot="1">
      <c r="A8" s="50" t="s">
        <v>21</v>
      </c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  <c r="N8" s="51">
        <v>13</v>
      </c>
      <c r="O8" s="51">
        <v>14</v>
      </c>
      <c r="P8" s="51">
        <v>15</v>
      </c>
      <c r="Q8" s="51">
        <v>16</v>
      </c>
      <c r="R8" s="51">
        <v>17</v>
      </c>
      <c r="S8" s="51">
        <v>18</v>
      </c>
      <c r="T8" s="51">
        <v>19</v>
      </c>
      <c r="U8" s="51">
        <v>20</v>
      </c>
      <c r="V8" s="53"/>
      <c r="W8" s="55"/>
    </row>
    <row r="9" spans="1:25" ht="15" customHeight="1">
      <c r="A9" s="1" t="s">
        <v>22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31"/>
    </row>
    <row r="10" spans="1: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31"/>
    </row>
    <row r="11" spans="1:25" ht="25.5">
      <c r="A11" s="17" t="s">
        <v>23</v>
      </c>
      <c r="B11" s="6">
        <f>'rMCZs beyond 12nm '!E8+'rMCZs within 12nm'!H8</f>
        <v>8.3352063333333337</v>
      </c>
      <c r="C11" s="6">
        <f>'rMCZs beyond 12nm '!E9+'rMCZs within 12nm'!H9</f>
        <v>9.4217743333333335</v>
      </c>
      <c r="D11" s="6">
        <f>'rMCZs beyond 12nm '!E10+'rMCZs within 12nm'!H10</f>
        <v>7.6358853333333334</v>
      </c>
      <c r="E11" s="6">
        <f>'rMCZs beyond 12nm '!E11+'rMCZs within 12nm'!H11</f>
        <v>7.6358853333333334</v>
      </c>
      <c r="F11" s="6">
        <f>'rMCZs beyond 12nm '!E12+'rMCZs within 12nm'!H12</f>
        <v>7.6358853333333334</v>
      </c>
      <c r="G11" s="6">
        <f>'rMCZs beyond 12nm '!E13+'rMCZs within 12nm'!H13</f>
        <v>7.6358853333333334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f>SUM(B11:U11)</f>
        <v>48.300522000000001</v>
      </c>
      <c r="W11" s="6">
        <f>V11/20</f>
        <v>2.4150261</v>
      </c>
      <c r="X11" s="31"/>
    </row>
    <row r="12" spans="1:25">
      <c r="A12" s="1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31"/>
    </row>
    <row r="13" spans="1:25" ht="25.5">
      <c r="A13" s="17" t="s">
        <v>24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f>'rMCZs beyond 12nm '!F14+'rMCZs within 12nm'!I14</f>
        <v>6.1416666666666666</v>
      </c>
      <c r="I13" s="6">
        <f>'rMCZs beyond 12nm '!F15+'rMCZs within 12nm'!I15</f>
        <v>6.1416666666666666</v>
      </c>
      <c r="J13" s="6">
        <f>'rMCZs beyond 12nm '!F16+'rMCZs within 12nm'!I16</f>
        <v>6.1416666666666666</v>
      </c>
      <c r="K13" s="6">
        <f>'rMCZs beyond 12nm '!F17+'rMCZs within 12nm'!I17</f>
        <v>6.1416666666666666</v>
      </c>
      <c r="L13" s="6">
        <f>'rMCZs beyond 12nm '!F18+'rMCZs within 12nm'!I18</f>
        <v>6.1416666666666666</v>
      </c>
      <c r="M13" s="6">
        <f>'rMCZs beyond 12nm '!F19+'rMCZs within 12nm'!I19</f>
        <v>6.1416666666666666</v>
      </c>
      <c r="N13" s="6">
        <f>'rMCZs beyond 12nm '!F20+'rMCZs within 12nm'!I20</f>
        <v>6.1416666666666666</v>
      </c>
      <c r="O13" s="6">
        <f>'rMCZs beyond 12nm '!F21+'rMCZs within 12nm'!I21</f>
        <v>6.1416666666666666</v>
      </c>
      <c r="P13" s="6">
        <f>'rMCZs beyond 12nm '!F22+'rMCZs within 12nm'!I22</f>
        <v>6.1416666666666666</v>
      </c>
      <c r="Q13" s="6">
        <f>'rMCZs beyond 12nm '!F23+'rMCZs within 12nm'!I23</f>
        <v>6.1416666666666666</v>
      </c>
      <c r="R13" s="6">
        <f>'rMCZs beyond 12nm '!F24+'rMCZs within 12nm'!I24</f>
        <v>6.1416666666666666</v>
      </c>
      <c r="S13" s="6">
        <f>'rMCZs beyond 12nm '!F25+'rMCZs within 12nm'!I25</f>
        <v>6.1416666666666666</v>
      </c>
      <c r="T13" s="6">
        <f>'rMCZs beyond 12nm '!F26+'rMCZs within 12nm'!I26</f>
        <v>6.1416666666666666</v>
      </c>
      <c r="U13" s="6">
        <f>'rMCZs beyond 12nm '!F27+'rMCZs within 12nm'!I27</f>
        <v>6.1416666666666666</v>
      </c>
      <c r="V13" s="6">
        <f>SUM(B13:U13)</f>
        <v>85.983333333333334</v>
      </c>
      <c r="W13" s="6">
        <f>V13/20</f>
        <v>4.2991666666666664</v>
      </c>
      <c r="X13" s="31"/>
    </row>
    <row r="14" spans="1:2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1"/>
    </row>
    <row r="15" spans="1:25">
      <c r="A15" s="2" t="s">
        <v>13</v>
      </c>
      <c r="B15" s="6">
        <f>B11</f>
        <v>8.3352063333333337</v>
      </c>
      <c r="C15" s="6">
        <f t="shared" ref="C15:U15" si="0">C11</f>
        <v>9.4217743333333335</v>
      </c>
      <c r="D15" s="6">
        <f t="shared" si="0"/>
        <v>7.6358853333333334</v>
      </c>
      <c r="E15" s="6">
        <f t="shared" si="0"/>
        <v>7.6358853333333334</v>
      </c>
      <c r="F15" s="6">
        <f t="shared" si="0"/>
        <v>7.6358853333333334</v>
      </c>
      <c r="G15" s="6">
        <f t="shared" si="0"/>
        <v>7.6358853333333334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6">
        <f t="shared" si="0"/>
        <v>0</v>
      </c>
      <c r="O15" s="6">
        <f t="shared" si="0"/>
        <v>0</v>
      </c>
      <c r="P15" s="6">
        <f t="shared" si="0"/>
        <v>0</v>
      </c>
      <c r="Q15" s="6">
        <f t="shared" si="0"/>
        <v>0</v>
      </c>
      <c r="R15" s="6">
        <f t="shared" si="0"/>
        <v>0</v>
      </c>
      <c r="S15" s="6">
        <f t="shared" si="0"/>
        <v>0</v>
      </c>
      <c r="T15" s="6">
        <f t="shared" si="0"/>
        <v>0</v>
      </c>
      <c r="U15" s="6">
        <f t="shared" si="0"/>
        <v>0</v>
      </c>
      <c r="V15" s="6">
        <f>SUM(B15:U15)</f>
        <v>48.300522000000001</v>
      </c>
      <c r="W15" s="6">
        <f>V15/20</f>
        <v>2.4150261</v>
      </c>
      <c r="X15" s="31"/>
    </row>
    <row r="16" spans="1:25">
      <c r="A16" s="2" t="s">
        <v>14</v>
      </c>
      <c r="B16" s="5">
        <f t="shared" ref="B16:M16" si="1">B13</f>
        <v>0</v>
      </c>
      <c r="C16" s="5">
        <f t="shared" si="1"/>
        <v>0</v>
      </c>
      <c r="D16" s="5">
        <f t="shared" si="1"/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6.1416666666666666</v>
      </c>
      <c r="I16" s="5">
        <f t="shared" si="1"/>
        <v>6.1416666666666666</v>
      </c>
      <c r="J16" s="5">
        <f t="shared" si="1"/>
        <v>6.1416666666666666</v>
      </c>
      <c r="K16" s="5">
        <f t="shared" si="1"/>
        <v>6.1416666666666666</v>
      </c>
      <c r="L16" s="5">
        <f t="shared" si="1"/>
        <v>6.1416666666666666</v>
      </c>
      <c r="M16" s="5">
        <f t="shared" si="1"/>
        <v>6.1416666666666666</v>
      </c>
      <c r="N16" s="5">
        <f t="shared" ref="N16:U16" si="2">N13</f>
        <v>6.1416666666666666</v>
      </c>
      <c r="O16" s="5">
        <f t="shared" si="2"/>
        <v>6.1416666666666666</v>
      </c>
      <c r="P16" s="5">
        <f t="shared" si="2"/>
        <v>6.1416666666666666</v>
      </c>
      <c r="Q16" s="5">
        <f t="shared" si="2"/>
        <v>6.1416666666666666</v>
      </c>
      <c r="R16" s="5">
        <f t="shared" si="2"/>
        <v>6.1416666666666666</v>
      </c>
      <c r="S16" s="5">
        <f t="shared" si="2"/>
        <v>6.1416666666666666</v>
      </c>
      <c r="T16" s="5">
        <f t="shared" si="2"/>
        <v>6.1416666666666666</v>
      </c>
      <c r="U16" s="5">
        <f t="shared" si="2"/>
        <v>6.1416666666666666</v>
      </c>
      <c r="V16" s="5">
        <f>SUM(B16:U16)</f>
        <v>85.983333333333334</v>
      </c>
      <c r="W16" s="5">
        <f>V16/20</f>
        <v>4.2991666666666664</v>
      </c>
      <c r="X16" s="31"/>
    </row>
    <row r="17" spans="1:24">
      <c r="A17" s="8" t="s">
        <v>12</v>
      </c>
      <c r="B17" s="18">
        <f>B16+B15</f>
        <v>8.3352063333333337</v>
      </c>
      <c r="C17" s="18">
        <f t="shared" ref="C17:U17" si="3">C16+C15</f>
        <v>9.4217743333333335</v>
      </c>
      <c r="D17" s="18">
        <f t="shared" si="3"/>
        <v>7.6358853333333334</v>
      </c>
      <c r="E17" s="18">
        <f t="shared" si="3"/>
        <v>7.6358853333333334</v>
      </c>
      <c r="F17" s="18">
        <f t="shared" si="3"/>
        <v>7.6358853333333334</v>
      </c>
      <c r="G17" s="18">
        <f t="shared" si="3"/>
        <v>7.6358853333333334</v>
      </c>
      <c r="H17" s="18">
        <f t="shared" si="3"/>
        <v>6.1416666666666666</v>
      </c>
      <c r="I17" s="18">
        <f t="shared" si="3"/>
        <v>6.1416666666666666</v>
      </c>
      <c r="J17" s="18">
        <f t="shared" si="3"/>
        <v>6.1416666666666666</v>
      </c>
      <c r="K17" s="18">
        <f t="shared" si="3"/>
        <v>6.1416666666666666</v>
      </c>
      <c r="L17" s="18">
        <f t="shared" si="3"/>
        <v>6.1416666666666666</v>
      </c>
      <c r="M17" s="18">
        <f t="shared" si="3"/>
        <v>6.1416666666666666</v>
      </c>
      <c r="N17" s="18">
        <f t="shared" si="3"/>
        <v>6.1416666666666666</v>
      </c>
      <c r="O17" s="18">
        <f t="shared" si="3"/>
        <v>6.1416666666666666</v>
      </c>
      <c r="P17" s="18">
        <f t="shared" si="3"/>
        <v>6.1416666666666666</v>
      </c>
      <c r="Q17" s="18">
        <f t="shared" si="3"/>
        <v>6.1416666666666666</v>
      </c>
      <c r="R17" s="18">
        <f t="shared" si="3"/>
        <v>6.1416666666666666</v>
      </c>
      <c r="S17" s="18">
        <f t="shared" si="3"/>
        <v>6.1416666666666666</v>
      </c>
      <c r="T17" s="18">
        <f t="shared" si="3"/>
        <v>6.1416666666666666</v>
      </c>
      <c r="U17" s="18">
        <f t="shared" si="3"/>
        <v>6.1416666666666666</v>
      </c>
      <c r="V17" s="18">
        <f>SUM(B17:U17)</f>
        <v>134.28385533333335</v>
      </c>
      <c r="W17" s="18">
        <f>V17/20</f>
        <v>6.7141927666666676</v>
      </c>
      <c r="X17" s="31"/>
    </row>
    <row r="18" spans="1:24" ht="15" thickBot="1">
      <c r="A18" s="3" t="s">
        <v>16</v>
      </c>
      <c r="B18" s="13" t="s">
        <v>15</v>
      </c>
      <c r="C18" s="13" t="s">
        <v>15</v>
      </c>
      <c r="D18" s="13" t="s">
        <v>15</v>
      </c>
      <c r="E18" s="13" t="s">
        <v>15</v>
      </c>
      <c r="F18" s="13" t="s">
        <v>15</v>
      </c>
      <c r="G18" s="13" t="s">
        <v>15</v>
      </c>
      <c r="H18" s="13" t="s">
        <v>15</v>
      </c>
      <c r="I18" s="13" t="s">
        <v>15</v>
      </c>
      <c r="J18" s="13" t="s">
        <v>15</v>
      </c>
      <c r="K18" s="13" t="s">
        <v>15</v>
      </c>
      <c r="L18" s="13" t="s">
        <v>15</v>
      </c>
      <c r="M18" s="13" t="s">
        <v>15</v>
      </c>
      <c r="N18" s="13" t="s">
        <v>15</v>
      </c>
      <c r="O18" s="13" t="s">
        <v>15</v>
      </c>
      <c r="P18" s="13" t="s">
        <v>15</v>
      </c>
      <c r="Q18" s="13" t="s">
        <v>15</v>
      </c>
      <c r="R18" s="13" t="s">
        <v>15</v>
      </c>
      <c r="S18" s="13" t="s">
        <v>15</v>
      </c>
      <c r="T18" s="13" t="s">
        <v>15</v>
      </c>
      <c r="U18" s="13" t="s">
        <v>15</v>
      </c>
      <c r="V18" s="14">
        <f>NPV(3.5%,B17:U17)</f>
        <v>97.592685956234575</v>
      </c>
      <c r="W18" s="13" t="s">
        <v>15</v>
      </c>
      <c r="X18" s="31"/>
    </row>
  </sheetData>
  <sheetProtection password="8725" sheet="1" objects="1" scenarios="1"/>
  <mergeCells count="3">
    <mergeCell ref="V7:V8"/>
    <mergeCell ref="W7:W8"/>
    <mergeCell ref="A5:W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zoomScale="80" zoomScaleNormal="80" workbookViewId="0">
      <selection activeCell="F26" sqref="F26"/>
    </sheetView>
  </sheetViews>
  <sheetFormatPr defaultRowHeight="16.5" customHeight="1"/>
  <cols>
    <col min="1" max="1" width="9.140625" style="2"/>
    <col min="2" max="2" width="13.28515625" style="2" customWidth="1"/>
    <col min="3" max="3" width="15.5703125" style="2" customWidth="1"/>
    <col min="4" max="4" width="23.85546875" style="2" customWidth="1"/>
    <col min="5" max="5" width="9.7109375" style="2" customWidth="1"/>
    <col min="6" max="6" width="12.42578125" style="2" customWidth="1"/>
    <col min="7" max="7" width="0" style="2" hidden="1" customWidth="1"/>
    <col min="8" max="11" width="9.140625" style="2"/>
    <col min="12" max="12" width="7.7109375" style="2" customWidth="1"/>
    <col min="13" max="16384" width="9.140625" style="2"/>
  </cols>
  <sheetData>
    <row r="1" spans="1:24" s="11" customFormat="1" ht="30" customHeight="1">
      <c r="A1" s="12" t="s">
        <v>26</v>
      </c>
      <c r="B1" s="9"/>
      <c r="C1" s="10"/>
      <c r="D1" s="10"/>
      <c r="E1" s="10"/>
      <c r="F1" s="10"/>
      <c r="G1" s="10"/>
      <c r="H1" s="10"/>
      <c r="I1" s="10"/>
      <c r="J1" s="10"/>
      <c r="K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.75">
      <c r="A2" s="43" t="s">
        <v>32</v>
      </c>
    </row>
    <row r="3" spans="1:24" ht="16.5" customHeight="1">
      <c r="A3" s="19"/>
    </row>
    <row r="4" spans="1:24" ht="36" customHeight="1" thickBot="1">
      <c r="A4" s="60" t="s">
        <v>20</v>
      </c>
      <c r="B4" s="60"/>
      <c r="C4" s="60"/>
      <c r="D4" s="60"/>
      <c r="E4" s="60"/>
      <c r="F4" s="60"/>
    </row>
    <row r="5" spans="1:24" ht="21" customHeight="1">
      <c r="A5" s="57" t="s">
        <v>25</v>
      </c>
      <c r="B5" s="58"/>
      <c r="C5" s="58"/>
      <c r="D5" s="58"/>
      <c r="E5" s="58"/>
      <c r="F5" s="59"/>
    </row>
    <row r="6" spans="1:24" ht="54" customHeight="1" thickBot="1">
      <c r="A6" s="23" t="s">
        <v>0</v>
      </c>
      <c r="B6" s="23" t="s">
        <v>1</v>
      </c>
      <c r="C6" s="23" t="s">
        <v>19</v>
      </c>
      <c r="D6" s="23" t="s">
        <v>2</v>
      </c>
      <c r="E6" s="23" t="s">
        <v>13</v>
      </c>
      <c r="F6" s="23" t="s">
        <v>17</v>
      </c>
    </row>
    <row r="7" spans="1:24" ht="12.75" customHeight="1">
      <c r="A7" s="22"/>
      <c r="B7" s="22" t="s">
        <v>3</v>
      </c>
      <c r="C7" s="22" t="s">
        <v>3</v>
      </c>
      <c r="D7" s="22" t="s">
        <v>3</v>
      </c>
      <c r="E7" s="22" t="s">
        <v>3</v>
      </c>
      <c r="F7" s="22" t="s">
        <v>3</v>
      </c>
      <c r="K7" s="5"/>
      <c r="L7" s="5"/>
      <c r="M7" s="5"/>
    </row>
    <row r="8" spans="1:24" ht="12.75" customHeight="1">
      <c r="A8" s="20">
        <v>2013</v>
      </c>
      <c r="B8" s="24">
        <f>(0.00008*7637.3)</f>
        <v>0.61098400000000008</v>
      </c>
      <c r="C8" s="24"/>
      <c r="D8" s="24"/>
      <c r="E8" s="24">
        <f t="shared" ref="E8:E13" si="0">SUM(B8:D8)</f>
        <v>0.61098400000000008</v>
      </c>
      <c r="F8" s="24"/>
      <c r="G8" s="5">
        <f>1.994/2</f>
        <v>0.997</v>
      </c>
      <c r="K8" s="5"/>
      <c r="L8" s="21"/>
      <c r="M8" s="5"/>
    </row>
    <row r="9" spans="1:24" ht="12.75" customHeight="1">
      <c r="A9" s="20">
        <v>2014</v>
      </c>
      <c r="B9" s="24"/>
      <c r="C9" s="24">
        <f>((31205*0.000272)/5)</f>
        <v>1.6975519999999999</v>
      </c>
      <c r="D9" s="24"/>
      <c r="E9" s="24">
        <f t="shared" si="0"/>
        <v>1.6975519999999999</v>
      </c>
      <c r="F9" s="24"/>
      <c r="G9" s="5">
        <f>8.524/4</f>
        <v>2.1309999999999998</v>
      </c>
      <c r="K9" s="5"/>
      <c r="L9" s="5"/>
      <c r="M9" s="5"/>
    </row>
    <row r="10" spans="1:24" ht="12.75" customHeight="1">
      <c r="A10" s="20">
        <v>2015</v>
      </c>
      <c r="B10" s="24"/>
      <c r="C10" s="24">
        <f>((31205*0.000272)/5)</f>
        <v>1.6975519999999999</v>
      </c>
      <c r="D10" s="24"/>
      <c r="E10" s="24">
        <f t="shared" si="0"/>
        <v>1.6975519999999999</v>
      </c>
      <c r="F10" s="24"/>
      <c r="G10" s="5">
        <f>1.708/2</f>
        <v>0.85399999999999998</v>
      </c>
      <c r="K10" s="5"/>
      <c r="L10" s="5"/>
      <c r="M10" s="5"/>
    </row>
    <row r="11" spans="1:24" ht="12.75" customHeight="1">
      <c r="A11" s="20">
        <v>2016</v>
      </c>
      <c r="B11" s="24"/>
      <c r="C11" s="24">
        <f>((31205*0.000272)/5)</f>
        <v>1.6975519999999999</v>
      </c>
      <c r="D11" s="24"/>
      <c r="E11" s="24">
        <f t="shared" si="0"/>
        <v>1.6975519999999999</v>
      </c>
      <c r="F11" s="24"/>
      <c r="G11" s="5">
        <f>8.488/6</f>
        <v>1.4146666666666665</v>
      </c>
      <c r="K11" s="5"/>
      <c r="L11" s="5"/>
      <c r="M11" s="5"/>
    </row>
    <row r="12" spans="1:24" ht="12.75" customHeight="1">
      <c r="A12" s="20">
        <v>2017</v>
      </c>
      <c r="B12" s="24"/>
      <c r="C12" s="24">
        <f>((31205*0.000272)/5)</f>
        <v>1.6975519999999999</v>
      </c>
      <c r="D12" s="24"/>
      <c r="E12" s="24">
        <f t="shared" si="0"/>
        <v>1.6975519999999999</v>
      </c>
      <c r="F12" s="24"/>
      <c r="K12" s="5"/>
      <c r="L12" s="5"/>
      <c r="M12" s="5"/>
    </row>
    <row r="13" spans="1:24" ht="12.75" customHeight="1">
      <c r="A13" s="20">
        <v>2018</v>
      </c>
      <c r="B13" s="24"/>
      <c r="C13" s="24">
        <f>((31205*0.000272)/5)</f>
        <v>1.6975519999999999</v>
      </c>
      <c r="D13" s="24"/>
      <c r="E13" s="24">
        <f t="shared" si="0"/>
        <v>1.6975519999999999</v>
      </c>
      <c r="F13" s="24"/>
      <c r="K13" s="5"/>
      <c r="L13" s="5"/>
      <c r="M13" s="5"/>
    </row>
    <row r="14" spans="1:24" ht="12.75" customHeight="1">
      <c r="A14" s="20">
        <v>2019</v>
      </c>
      <c r="B14" s="24"/>
      <c r="C14" s="24"/>
      <c r="D14" s="24">
        <f>((31250*0.000272)/6)</f>
        <v>1.4166666666666667</v>
      </c>
      <c r="E14" s="24"/>
      <c r="F14" s="24">
        <f>SUM(B14:D14)</f>
        <v>1.4166666666666667</v>
      </c>
      <c r="K14" s="5"/>
      <c r="L14" s="5"/>
      <c r="M14" s="5"/>
    </row>
    <row r="15" spans="1:24" ht="12.75" customHeight="1">
      <c r="A15" s="20">
        <v>2020</v>
      </c>
      <c r="B15" s="24"/>
      <c r="C15" s="24"/>
      <c r="D15" s="24">
        <f t="shared" ref="D15:D27" si="1">((31250*0.000272)/6)</f>
        <v>1.4166666666666667</v>
      </c>
      <c r="E15" s="24"/>
      <c r="F15" s="24">
        <f t="shared" ref="F15:F27" si="2">SUM(B15:D15)</f>
        <v>1.4166666666666667</v>
      </c>
      <c r="K15" s="5"/>
      <c r="L15" s="5"/>
      <c r="M15" s="5"/>
    </row>
    <row r="16" spans="1:24" ht="12.75" customHeight="1">
      <c r="A16" s="20">
        <v>2021</v>
      </c>
      <c r="B16" s="24"/>
      <c r="C16" s="24"/>
      <c r="D16" s="24">
        <f t="shared" si="1"/>
        <v>1.4166666666666667</v>
      </c>
      <c r="E16" s="24"/>
      <c r="F16" s="24">
        <f t="shared" si="2"/>
        <v>1.4166666666666667</v>
      </c>
      <c r="K16" s="5"/>
      <c r="L16" s="5"/>
      <c r="M16" s="5"/>
    </row>
    <row r="17" spans="1:13" ht="12.75" customHeight="1">
      <c r="A17" s="20">
        <v>2022</v>
      </c>
      <c r="B17" s="24"/>
      <c r="C17" s="24"/>
      <c r="D17" s="24">
        <f t="shared" si="1"/>
        <v>1.4166666666666667</v>
      </c>
      <c r="E17" s="24"/>
      <c r="F17" s="24">
        <f t="shared" si="2"/>
        <v>1.4166666666666667</v>
      </c>
      <c r="K17" s="5"/>
      <c r="L17" s="5"/>
      <c r="M17" s="5"/>
    </row>
    <row r="18" spans="1:13" ht="12.75" customHeight="1">
      <c r="A18" s="20">
        <v>2023</v>
      </c>
      <c r="B18" s="24"/>
      <c r="C18" s="24"/>
      <c r="D18" s="24">
        <f t="shared" si="1"/>
        <v>1.4166666666666667</v>
      </c>
      <c r="E18" s="24"/>
      <c r="F18" s="24">
        <f t="shared" si="2"/>
        <v>1.4166666666666667</v>
      </c>
      <c r="K18" s="5"/>
      <c r="L18" s="5"/>
      <c r="M18" s="5"/>
    </row>
    <row r="19" spans="1:13" ht="12.75" customHeight="1">
      <c r="A19" s="20">
        <v>2024</v>
      </c>
      <c r="B19" s="24"/>
      <c r="C19" s="24"/>
      <c r="D19" s="24">
        <f t="shared" si="1"/>
        <v>1.4166666666666667</v>
      </c>
      <c r="E19" s="24"/>
      <c r="F19" s="24">
        <f t="shared" si="2"/>
        <v>1.4166666666666667</v>
      </c>
      <c r="K19" s="5"/>
      <c r="L19" s="5"/>
      <c r="M19" s="5"/>
    </row>
    <row r="20" spans="1:13" ht="12.75" customHeight="1">
      <c r="A20" s="20">
        <v>2025</v>
      </c>
      <c r="B20" s="24"/>
      <c r="C20" s="24"/>
      <c r="D20" s="24">
        <f t="shared" si="1"/>
        <v>1.4166666666666667</v>
      </c>
      <c r="E20" s="24"/>
      <c r="F20" s="24">
        <f t="shared" si="2"/>
        <v>1.4166666666666667</v>
      </c>
      <c r="K20" s="5"/>
      <c r="L20" s="5"/>
      <c r="M20" s="5"/>
    </row>
    <row r="21" spans="1:13" ht="12.75" customHeight="1">
      <c r="A21" s="20">
        <v>2026</v>
      </c>
      <c r="B21" s="24"/>
      <c r="C21" s="24"/>
      <c r="D21" s="24">
        <f t="shared" si="1"/>
        <v>1.4166666666666667</v>
      </c>
      <c r="E21" s="24"/>
      <c r="F21" s="24">
        <f t="shared" si="2"/>
        <v>1.4166666666666667</v>
      </c>
      <c r="K21" s="5"/>
      <c r="L21" s="5"/>
      <c r="M21" s="5"/>
    </row>
    <row r="22" spans="1:13" ht="12.75" customHeight="1">
      <c r="A22" s="20">
        <v>2027</v>
      </c>
      <c r="B22" s="24"/>
      <c r="C22" s="24"/>
      <c r="D22" s="24">
        <f t="shared" si="1"/>
        <v>1.4166666666666667</v>
      </c>
      <c r="E22" s="24"/>
      <c r="F22" s="24">
        <f t="shared" si="2"/>
        <v>1.4166666666666667</v>
      </c>
      <c r="K22" s="5"/>
      <c r="L22" s="5"/>
      <c r="M22" s="5"/>
    </row>
    <row r="23" spans="1:13" ht="12.75" customHeight="1">
      <c r="A23" s="20">
        <v>2028</v>
      </c>
      <c r="B23" s="24"/>
      <c r="C23" s="24"/>
      <c r="D23" s="24">
        <f t="shared" si="1"/>
        <v>1.4166666666666667</v>
      </c>
      <c r="E23" s="24"/>
      <c r="F23" s="24">
        <f t="shared" si="2"/>
        <v>1.4166666666666667</v>
      </c>
      <c r="K23" s="5"/>
      <c r="L23" s="5"/>
      <c r="M23" s="5"/>
    </row>
    <row r="24" spans="1:13" ht="12.75" customHeight="1">
      <c r="A24" s="20">
        <v>2029</v>
      </c>
      <c r="B24" s="24"/>
      <c r="C24" s="24"/>
      <c r="D24" s="24">
        <f t="shared" si="1"/>
        <v>1.4166666666666667</v>
      </c>
      <c r="E24" s="24"/>
      <c r="F24" s="24">
        <f t="shared" si="2"/>
        <v>1.4166666666666667</v>
      </c>
      <c r="K24" s="5"/>
      <c r="L24" s="5"/>
      <c r="M24" s="5"/>
    </row>
    <row r="25" spans="1:13" ht="12.75" customHeight="1">
      <c r="A25" s="20">
        <v>2030</v>
      </c>
      <c r="B25" s="24"/>
      <c r="C25" s="24"/>
      <c r="D25" s="24">
        <f t="shared" si="1"/>
        <v>1.4166666666666667</v>
      </c>
      <c r="E25" s="24"/>
      <c r="F25" s="24">
        <f t="shared" si="2"/>
        <v>1.4166666666666667</v>
      </c>
      <c r="K25" s="5"/>
      <c r="L25" s="5"/>
      <c r="M25" s="5"/>
    </row>
    <row r="26" spans="1:13" ht="12.75" customHeight="1">
      <c r="A26" s="20">
        <v>2031</v>
      </c>
      <c r="B26" s="24"/>
      <c r="C26" s="25"/>
      <c r="D26" s="24">
        <f t="shared" si="1"/>
        <v>1.4166666666666667</v>
      </c>
      <c r="E26" s="24"/>
      <c r="F26" s="24">
        <f t="shared" si="2"/>
        <v>1.4166666666666667</v>
      </c>
      <c r="K26" s="5"/>
      <c r="L26" s="5"/>
      <c r="M26" s="5"/>
    </row>
    <row r="27" spans="1:13" ht="12.75" customHeight="1">
      <c r="A27" s="20">
        <v>2032</v>
      </c>
      <c r="B27" s="24"/>
      <c r="C27" s="24"/>
      <c r="D27" s="24">
        <f t="shared" si="1"/>
        <v>1.4166666666666667</v>
      </c>
      <c r="E27" s="24"/>
      <c r="F27" s="24">
        <f t="shared" si="2"/>
        <v>1.4166666666666667</v>
      </c>
      <c r="K27" s="5"/>
      <c r="L27" s="5"/>
      <c r="M27" s="5"/>
    </row>
    <row r="28" spans="1:13" ht="12.75" customHeight="1">
      <c r="A28" s="20"/>
      <c r="B28" s="24">
        <f>SUM(B8:B27)</f>
        <v>0.61098400000000008</v>
      </c>
      <c r="C28" s="24">
        <f>SUM(C8:C27)</f>
        <v>8.4877599999999997</v>
      </c>
      <c r="D28" s="24">
        <f>SUM(D8:D27)</f>
        <v>19.833333333333332</v>
      </c>
      <c r="E28" s="24">
        <f>SUM(E8:E27)</f>
        <v>9.0987439999999999</v>
      </c>
      <c r="F28" s="24">
        <f>SUM(F8:F27)</f>
        <v>19.833333333333332</v>
      </c>
    </row>
  </sheetData>
  <sheetProtection password="8725" sheet="1" objects="1" scenarios="1"/>
  <mergeCells count="2">
    <mergeCell ref="A5:F5"/>
    <mergeCell ref="A4:F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="80" zoomScaleNormal="80" workbookViewId="0">
      <selection activeCell="G24" sqref="G24"/>
    </sheetView>
  </sheetViews>
  <sheetFormatPr defaultRowHeight="12.75"/>
  <cols>
    <col min="1" max="1" width="12" style="2" customWidth="1"/>
    <col min="2" max="2" width="13.7109375" style="2" customWidth="1"/>
    <col min="3" max="3" width="13.5703125" style="2" customWidth="1"/>
    <col min="4" max="4" width="14" style="2" customWidth="1"/>
    <col min="5" max="5" width="16.28515625" style="2" customWidth="1"/>
    <col min="6" max="6" width="18.42578125" style="2" customWidth="1"/>
    <col min="7" max="7" width="19.140625" style="2" customWidth="1"/>
    <col min="8" max="8" width="13.7109375" style="2" customWidth="1"/>
    <col min="9" max="9" width="13.85546875" style="2" customWidth="1"/>
    <col min="10" max="16384" width="9.140625" style="2"/>
  </cols>
  <sheetData>
    <row r="1" spans="1:24" s="11" customFormat="1" ht="30" customHeight="1">
      <c r="A1" s="12" t="s">
        <v>31</v>
      </c>
      <c r="B1" s="9"/>
      <c r="C1" s="10"/>
      <c r="D1" s="10"/>
      <c r="E1" s="10"/>
      <c r="F1" s="10"/>
      <c r="G1" s="10"/>
      <c r="H1" s="10"/>
      <c r="I1" s="10"/>
      <c r="J1" s="10"/>
      <c r="K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47" customFormat="1" ht="15">
      <c r="A2" s="44" t="s">
        <v>32</v>
      </c>
      <c r="B2" s="45"/>
      <c r="C2" s="46"/>
      <c r="D2" s="46"/>
      <c r="E2" s="46"/>
      <c r="F2" s="46"/>
      <c r="G2" s="46"/>
      <c r="H2" s="46"/>
      <c r="I2" s="46"/>
      <c r="J2" s="46"/>
      <c r="K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>
      <c r="A3" s="43"/>
    </row>
    <row r="4" spans="1:24" ht="26.25" customHeight="1">
      <c r="A4" s="64" t="s">
        <v>18</v>
      </c>
      <c r="B4" s="64"/>
      <c r="C4" s="64"/>
      <c r="D4" s="64"/>
      <c r="E4" s="64"/>
      <c r="F4" s="64"/>
      <c r="G4" s="64"/>
      <c r="H4" s="64"/>
      <c r="I4" s="64"/>
    </row>
    <row r="5" spans="1:24">
      <c r="A5" s="61" t="s">
        <v>30</v>
      </c>
      <c r="B5" s="61"/>
      <c r="C5" s="61"/>
      <c r="D5" s="61"/>
      <c r="E5" s="61"/>
      <c r="F5" s="62"/>
      <c r="G5" s="62"/>
      <c r="H5" s="62"/>
      <c r="I5" s="63"/>
    </row>
    <row r="6" spans="1:24" ht="77.25" customHeight="1">
      <c r="A6" s="42" t="s">
        <v>0</v>
      </c>
      <c r="B6" s="42" t="s">
        <v>4</v>
      </c>
      <c r="C6" s="41" t="s">
        <v>5</v>
      </c>
      <c r="D6" s="41" t="s">
        <v>6</v>
      </c>
      <c r="E6" s="41" t="s">
        <v>7</v>
      </c>
      <c r="F6" s="41" t="s">
        <v>8</v>
      </c>
      <c r="G6" s="41" t="s">
        <v>9</v>
      </c>
      <c r="H6" s="41" t="s">
        <v>13</v>
      </c>
      <c r="I6" s="41" t="s">
        <v>17</v>
      </c>
    </row>
    <row r="7" spans="1:24">
      <c r="A7" s="34"/>
      <c r="B7" s="35" t="s">
        <v>3</v>
      </c>
      <c r="C7" s="36" t="s">
        <v>3</v>
      </c>
      <c r="D7" s="35" t="s">
        <v>3</v>
      </c>
      <c r="E7" s="36" t="s">
        <v>3</v>
      </c>
      <c r="F7" s="36" t="s">
        <v>3</v>
      </c>
      <c r="G7" s="36" t="s">
        <v>3</v>
      </c>
      <c r="H7" s="35" t="s">
        <v>3</v>
      </c>
      <c r="I7" s="35" t="s">
        <v>3</v>
      </c>
    </row>
    <row r="8" spans="1:24">
      <c r="A8" s="34">
        <v>2013</v>
      </c>
      <c r="B8" s="39">
        <f>574*0.824*5000/2/1000000</f>
        <v>1.1824399999999999</v>
      </c>
      <c r="C8" s="40">
        <f>77*0.922*17000/2/1000000</f>
        <v>0.60344900000000001</v>
      </c>
      <c r="D8" s="39">
        <f t="shared" ref="D8:D13" si="0">574*50000/6/1000000</f>
        <v>4.7833333333333332</v>
      </c>
      <c r="E8" s="40">
        <f t="shared" ref="E8:E13" si="1">77*90000/6/1000000</f>
        <v>1.155</v>
      </c>
      <c r="F8" s="40"/>
      <c r="G8" s="40"/>
      <c r="H8" s="39">
        <f t="shared" ref="H8:H13" si="2">SUM(B8:G8)</f>
        <v>7.7242223333333335</v>
      </c>
      <c r="I8" s="39"/>
    </row>
    <row r="9" spans="1:24">
      <c r="A9" s="34">
        <v>2014</v>
      </c>
      <c r="B9" s="39">
        <f>574*0.824*5000/2/1000000</f>
        <v>1.1824399999999999</v>
      </c>
      <c r="C9" s="40">
        <f>77*0.922*17000/2/1000000</f>
        <v>0.60344900000000001</v>
      </c>
      <c r="D9" s="39">
        <f t="shared" si="0"/>
        <v>4.7833333333333332</v>
      </c>
      <c r="E9" s="40">
        <f t="shared" si="1"/>
        <v>1.155</v>
      </c>
      <c r="F9" s="40"/>
      <c r="G9" s="40"/>
      <c r="H9" s="39">
        <f t="shared" si="2"/>
        <v>7.7242223333333335</v>
      </c>
      <c r="I9" s="39"/>
    </row>
    <row r="10" spans="1:24">
      <c r="A10" s="34">
        <v>2015</v>
      </c>
      <c r="B10" s="39"/>
      <c r="C10" s="40"/>
      <c r="D10" s="39">
        <f t="shared" si="0"/>
        <v>4.7833333333333332</v>
      </c>
      <c r="E10" s="40">
        <f t="shared" si="1"/>
        <v>1.155</v>
      </c>
      <c r="F10" s="40"/>
      <c r="G10" s="40"/>
      <c r="H10" s="39">
        <f t="shared" si="2"/>
        <v>5.9383333333333335</v>
      </c>
      <c r="I10" s="39"/>
    </row>
    <row r="11" spans="1:24">
      <c r="A11" s="34">
        <v>2016</v>
      </c>
      <c r="B11" s="39"/>
      <c r="C11" s="40"/>
      <c r="D11" s="39">
        <f t="shared" si="0"/>
        <v>4.7833333333333332</v>
      </c>
      <c r="E11" s="40">
        <f t="shared" si="1"/>
        <v>1.155</v>
      </c>
      <c r="F11" s="40"/>
      <c r="G11" s="40"/>
      <c r="H11" s="39">
        <f t="shared" si="2"/>
        <v>5.9383333333333335</v>
      </c>
      <c r="I11" s="39"/>
    </row>
    <row r="12" spans="1:24">
      <c r="A12" s="34">
        <v>2017</v>
      </c>
      <c r="B12" s="39"/>
      <c r="C12" s="40"/>
      <c r="D12" s="39">
        <f t="shared" si="0"/>
        <v>4.7833333333333332</v>
      </c>
      <c r="E12" s="40">
        <f t="shared" si="1"/>
        <v>1.155</v>
      </c>
      <c r="F12" s="40"/>
      <c r="G12" s="40"/>
      <c r="H12" s="39">
        <f t="shared" si="2"/>
        <v>5.9383333333333335</v>
      </c>
      <c r="I12" s="39"/>
    </row>
    <row r="13" spans="1:24">
      <c r="A13" s="34">
        <v>2018</v>
      </c>
      <c r="B13" s="39"/>
      <c r="C13" s="40"/>
      <c r="D13" s="39">
        <f t="shared" si="0"/>
        <v>4.7833333333333332</v>
      </c>
      <c r="E13" s="40">
        <f t="shared" si="1"/>
        <v>1.155</v>
      </c>
      <c r="F13" s="40"/>
      <c r="G13" s="40"/>
      <c r="H13" s="39">
        <f t="shared" si="2"/>
        <v>5.9383333333333335</v>
      </c>
      <c r="I13" s="39"/>
    </row>
    <row r="14" spans="1:24">
      <c r="A14" s="34">
        <v>2019</v>
      </c>
      <c r="B14" s="39"/>
      <c r="C14" s="40"/>
      <c r="D14" s="39"/>
      <c r="E14" s="40"/>
      <c r="F14" s="40">
        <f>574*40000/6/1000000</f>
        <v>3.8266666666666667</v>
      </c>
      <c r="G14" s="40">
        <f>77*70000/6/1000000</f>
        <v>0.89833333333333332</v>
      </c>
      <c r="H14" s="39"/>
      <c r="I14" s="39">
        <f>SUM(F14:G14)</f>
        <v>4.7249999999999996</v>
      </c>
    </row>
    <row r="15" spans="1:24">
      <c r="A15" s="34">
        <v>2020</v>
      </c>
      <c r="B15" s="39"/>
      <c r="C15" s="40"/>
      <c r="D15" s="39"/>
      <c r="E15" s="40"/>
      <c r="F15" s="40">
        <f t="shared" ref="F15:F27" si="3">574*40000/6/1000000</f>
        <v>3.8266666666666667</v>
      </c>
      <c r="G15" s="40">
        <f t="shared" ref="G15:G27" si="4">77*70000/6/1000000</f>
        <v>0.89833333333333332</v>
      </c>
      <c r="H15" s="39"/>
      <c r="I15" s="39">
        <f t="shared" ref="I15:I27" si="5">SUM(F15:G15)</f>
        <v>4.7249999999999996</v>
      </c>
    </row>
    <row r="16" spans="1:24">
      <c r="A16" s="34">
        <v>2021</v>
      </c>
      <c r="B16" s="39"/>
      <c r="C16" s="40"/>
      <c r="D16" s="39"/>
      <c r="E16" s="40"/>
      <c r="F16" s="40">
        <f t="shared" si="3"/>
        <v>3.8266666666666667</v>
      </c>
      <c r="G16" s="40">
        <f t="shared" si="4"/>
        <v>0.89833333333333332</v>
      </c>
      <c r="H16" s="39"/>
      <c r="I16" s="39">
        <f t="shared" si="5"/>
        <v>4.7249999999999996</v>
      </c>
    </row>
    <row r="17" spans="1:9">
      <c r="A17" s="34">
        <v>2022</v>
      </c>
      <c r="B17" s="39"/>
      <c r="C17" s="40"/>
      <c r="D17" s="39"/>
      <c r="E17" s="40"/>
      <c r="F17" s="40">
        <f t="shared" si="3"/>
        <v>3.8266666666666667</v>
      </c>
      <c r="G17" s="40">
        <f t="shared" si="4"/>
        <v>0.89833333333333332</v>
      </c>
      <c r="H17" s="39"/>
      <c r="I17" s="39">
        <f t="shared" si="5"/>
        <v>4.7249999999999996</v>
      </c>
    </row>
    <row r="18" spans="1:9">
      <c r="A18" s="34">
        <v>2023</v>
      </c>
      <c r="B18" s="39"/>
      <c r="C18" s="40"/>
      <c r="D18" s="39"/>
      <c r="E18" s="40"/>
      <c r="F18" s="40">
        <f t="shared" si="3"/>
        <v>3.8266666666666667</v>
      </c>
      <c r="G18" s="40">
        <f t="shared" si="4"/>
        <v>0.89833333333333332</v>
      </c>
      <c r="H18" s="39"/>
      <c r="I18" s="39">
        <f t="shared" si="5"/>
        <v>4.7249999999999996</v>
      </c>
    </row>
    <row r="19" spans="1:9">
      <c r="A19" s="34">
        <v>2024</v>
      </c>
      <c r="B19" s="39"/>
      <c r="C19" s="40"/>
      <c r="D19" s="39"/>
      <c r="E19" s="40"/>
      <c r="F19" s="40">
        <f t="shared" si="3"/>
        <v>3.8266666666666667</v>
      </c>
      <c r="G19" s="40">
        <f t="shared" si="4"/>
        <v>0.89833333333333332</v>
      </c>
      <c r="H19" s="39"/>
      <c r="I19" s="39">
        <f t="shared" si="5"/>
        <v>4.7249999999999996</v>
      </c>
    </row>
    <row r="20" spans="1:9">
      <c r="A20" s="34">
        <v>2025</v>
      </c>
      <c r="B20" s="39"/>
      <c r="C20" s="40"/>
      <c r="D20" s="39"/>
      <c r="E20" s="40"/>
      <c r="F20" s="40">
        <f t="shared" si="3"/>
        <v>3.8266666666666667</v>
      </c>
      <c r="G20" s="40">
        <f t="shared" si="4"/>
        <v>0.89833333333333332</v>
      </c>
      <c r="H20" s="39"/>
      <c r="I20" s="39">
        <f t="shared" si="5"/>
        <v>4.7249999999999996</v>
      </c>
    </row>
    <row r="21" spans="1:9">
      <c r="A21" s="34">
        <v>2026</v>
      </c>
      <c r="B21" s="39"/>
      <c r="C21" s="40"/>
      <c r="D21" s="39"/>
      <c r="E21" s="40"/>
      <c r="F21" s="40">
        <f t="shared" si="3"/>
        <v>3.8266666666666667</v>
      </c>
      <c r="G21" s="40">
        <f t="shared" si="4"/>
        <v>0.89833333333333332</v>
      </c>
      <c r="H21" s="39"/>
      <c r="I21" s="39">
        <f t="shared" si="5"/>
        <v>4.7249999999999996</v>
      </c>
    </row>
    <row r="22" spans="1:9">
      <c r="A22" s="34">
        <v>2027</v>
      </c>
      <c r="B22" s="39"/>
      <c r="C22" s="40"/>
      <c r="D22" s="39"/>
      <c r="E22" s="40"/>
      <c r="F22" s="40">
        <f t="shared" si="3"/>
        <v>3.8266666666666667</v>
      </c>
      <c r="G22" s="40">
        <f t="shared" si="4"/>
        <v>0.89833333333333332</v>
      </c>
      <c r="H22" s="39"/>
      <c r="I22" s="39">
        <f t="shared" si="5"/>
        <v>4.7249999999999996</v>
      </c>
    </row>
    <row r="23" spans="1:9">
      <c r="A23" s="34">
        <v>2028</v>
      </c>
      <c r="B23" s="39"/>
      <c r="C23" s="40"/>
      <c r="D23" s="39"/>
      <c r="E23" s="40"/>
      <c r="F23" s="40">
        <f t="shared" si="3"/>
        <v>3.8266666666666667</v>
      </c>
      <c r="G23" s="40">
        <f t="shared" si="4"/>
        <v>0.89833333333333332</v>
      </c>
      <c r="H23" s="39"/>
      <c r="I23" s="39">
        <f t="shared" si="5"/>
        <v>4.7249999999999996</v>
      </c>
    </row>
    <row r="24" spans="1:9">
      <c r="A24" s="34">
        <v>2029</v>
      </c>
      <c r="B24" s="39"/>
      <c r="C24" s="40"/>
      <c r="D24" s="39"/>
      <c r="E24" s="40"/>
      <c r="F24" s="40">
        <f t="shared" si="3"/>
        <v>3.8266666666666667</v>
      </c>
      <c r="G24" s="40">
        <f t="shared" si="4"/>
        <v>0.89833333333333332</v>
      </c>
      <c r="H24" s="39"/>
      <c r="I24" s="39">
        <f t="shared" si="5"/>
        <v>4.7249999999999996</v>
      </c>
    </row>
    <row r="25" spans="1:9">
      <c r="A25" s="34">
        <v>2030</v>
      </c>
      <c r="B25" s="39"/>
      <c r="C25" s="40"/>
      <c r="D25" s="39"/>
      <c r="E25" s="40"/>
      <c r="F25" s="40">
        <f t="shared" si="3"/>
        <v>3.8266666666666667</v>
      </c>
      <c r="G25" s="40">
        <f t="shared" si="4"/>
        <v>0.89833333333333332</v>
      </c>
      <c r="H25" s="39"/>
      <c r="I25" s="39">
        <f t="shared" si="5"/>
        <v>4.7249999999999996</v>
      </c>
    </row>
    <row r="26" spans="1:9">
      <c r="A26" s="34">
        <v>2031</v>
      </c>
      <c r="B26" s="39"/>
      <c r="C26" s="40"/>
      <c r="D26" s="39"/>
      <c r="E26" s="40"/>
      <c r="F26" s="40">
        <f t="shared" si="3"/>
        <v>3.8266666666666667</v>
      </c>
      <c r="G26" s="40">
        <f t="shared" si="4"/>
        <v>0.89833333333333332</v>
      </c>
      <c r="H26" s="39"/>
      <c r="I26" s="39">
        <f t="shared" si="5"/>
        <v>4.7249999999999996</v>
      </c>
    </row>
    <row r="27" spans="1:9">
      <c r="A27" s="34">
        <v>2032</v>
      </c>
      <c r="B27" s="39"/>
      <c r="C27" s="40"/>
      <c r="D27" s="39"/>
      <c r="E27" s="40"/>
      <c r="F27" s="40">
        <f t="shared" si="3"/>
        <v>3.8266666666666667</v>
      </c>
      <c r="G27" s="40">
        <f t="shared" si="4"/>
        <v>0.89833333333333332</v>
      </c>
      <c r="H27" s="39"/>
      <c r="I27" s="39">
        <f t="shared" si="5"/>
        <v>4.7249999999999996</v>
      </c>
    </row>
    <row r="28" spans="1:9">
      <c r="A28" s="37" t="s">
        <v>11</v>
      </c>
      <c r="B28" s="38">
        <f t="shared" ref="B28:I28" si="6">SUM(B8:B27)</f>
        <v>2.3648799999999999</v>
      </c>
      <c r="C28" s="38">
        <f t="shared" si="6"/>
        <v>1.206898</v>
      </c>
      <c r="D28" s="38">
        <f t="shared" si="6"/>
        <v>28.699999999999996</v>
      </c>
      <c r="E28" s="38">
        <f t="shared" si="6"/>
        <v>6.9300000000000006</v>
      </c>
      <c r="F28" s="38">
        <f t="shared" si="6"/>
        <v>53.573333333333345</v>
      </c>
      <c r="G28" s="38">
        <f t="shared" si="6"/>
        <v>12.576666666666666</v>
      </c>
      <c r="H28" s="38">
        <f t="shared" si="6"/>
        <v>39.201777999999997</v>
      </c>
      <c r="I28" s="38">
        <f t="shared" si="6"/>
        <v>66.150000000000006</v>
      </c>
    </row>
  </sheetData>
  <sheetProtection password="8725" sheet="1" objects="1" scenarios="1"/>
  <mergeCells count="2">
    <mergeCell ref="A5:I5"/>
    <mergeCell ref="A4:I4"/>
  </mergeCells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 &amp; PV</vt:lpstr>
      <vt:lpstr>rMCZs beyond 12nm </vt:lpstr>
      <vt:lpstr>rMCZs within 12nm</vt:lpstr>
    </vt:vector>
  </TitlesOfParts>
  <Company>Joint Nature Conservation Committee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Golding</dc:creator>
  <cp:lastModifiedBy>M291374</cp:lastModifiedBy>
  <cp:lastPrinted>2012-05-23T11:13:58Z</cp:lastPrinted>
  <dcterms:created xsi:type="dcterms:W3CDTF">2011-08-04T15:24:24Z</dcterms:created>
  <dcterms:modified xsi:type="dcterms:W3CDTF">2012-07-17T11:55:41Z</dcterms:modified>
</cp:coreProperties>
</file>