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3285" yWindow="-135" windowWidth="15150" windowHeight="11760" tabRatio="675"/>
  </bookViews>
  <sheets>
    <sheet name="Contents" sheetId="18" r:id="rId1"/>
    <sheet name="Scenario 1 Assumptions" sheetId="8" r:id="rId2"/>
    <sheet name="Scenario 1 Calculations" sheetId="4" r:id="rId3"/>
    <sheet name="Scenario 2 Assumptions" sheetId="9" r:id="rId4"/>
    <sheet name="Scenario 2 Calculations" sheetId="13" r:id="rId5"/>
    <sheet name="Best-estimate" sheetId="15" r:id="rId6"/>
    <sheet name="Industry Assumptions" sheetId="10" r:id="rId7"/>
    <sheet name="Industry Calculations" sheetId="14" r:id="rId8"/>
    <sheet name="No. port. appl. MMO" sheetId="17" r:id="rId9"/>
    <sheet name="Ports within 5km rMCZ" sheetId="16" r:id="rId10"/>
    <sheet name="Sheet1" sheetId="19" r:id="rId11"/>
  </sheets>
  <definedNames>
    <definedName name="_xlnm._FilterDatabase" localSheetId="8" hidden="1">'No. port. appl. MMO'!$A$1:$I$348</definedName>
    <definedName name="_xlnm._FilterDatabase" localSheetId="9" hidden="1">'Ports within 5km rMCZ'!$A$1:$F$133</definedName>
    <definedName name="_xlnm.Print_Area" localSheetId="1">'Scenario 1 Assumptions'!$A$2:$S$84</definedName>
    <definedName name="_xlnm.Print_Area" localSheetId="2">'Scenario 1 Calculations'!$A$2:$W$8</definedName>
    <definedName name="_xlnm.Print_Area" localSheetId="3">'Scenario 2 Assumptions'!#REF!</definedName>
  </definedNames>
  <calcPr calcId="125725"/>
</workbook>
</file>

<file path=xl/calcChain.xml><?xml version="1.0" encoding="utf-8"?>
<calcChain xmlns="http://schemas.openxmlformats.org/spreadsheetml/2006/main">
  <c r="C493" i="13"/>
  <c r="D493"/>
  <c r="E493"/>
  <c r="F493"/>
  <c r="G493"/>
  <c r="H493"/>
  <c r="I493"/>
  <c r="J493"/>
  <c r="K493"/>
  <c r="L493"/>
  <c r="M493"/>
  <c r="N493"/>
  <c r="O493"/>
  <c r="P493"/>
  <c r="Q493"/>
  <c r="R493"/>
  <c r="S493"/>
  <c r="T493"/>
  <c r="U493"/>
  <c r="C8" i="15" l="1"/>
  <c r="D8"/>
  <c r="E8"/>
  <c r="F8"/>
  <c r="G8"/>
  <c r="H8"/>
  <c r="I8"/>
  <c r="J8"/>
  <c r="K8"/>
  <c r="L8"/>
  <c r="M8"/>
  <c r="N8"/>
  <c r="O8"/>
  <c r="P8"/>
  <c r="Q8"/>
  <c r="R8"/>
  <c r="S8"/>
  <c r="T8"/>
  <c r="U8"/>
  <c r="C348" i="13"/>
  <c r="D348"/>
  <c r="E348"/>
  <c r="F348"/>
  <c r="G348"/>
  <c r="H348"/>
  <c r="I348"/>
  <c r="J348"/>
  <c r="K348"/>
  <c r="L348"/>
  <c r="M348"/>
  <c r="N348"/>
  <c r="O348"/>
  <c r="P348"/>
  <c r="Q348"/>
  <c r="R348"/>
  <c r="S348"/>
  <c r="T348"/>
  <c r="U348"/>
  <c r="C253"/>
  <c r="D253"/>
  <c r="E253"/>
  <c r="F253"/>
  <c r="G253"/>
  <c r="H253"/>
  <c r="I253"/>
  <c r="J253"/>
  <c r="K253"/>
  <c r="L253"/>
  <c r="M253"/>
  <c r="N253"/>
  <c r="O253"/>
  <c r="P253"/>
  <c r="Q253"/>
  <c r="R253"/>
  <c r="S253"/>
  <c r="T253"/>
  <c r="U253"/>
  <c r="C112" i="4"/>
  <c r="D112"/>
  <c r="E112"/>
  <c r="F112"/>
  <c r="G112"/>
  <c r="H112"/>
  <c r="I112"/>
  <c r="J112"/>
  <c r="K112"/>
  <c r="L112"/>
  <c r="M112"/>
  <c r="N112"/>
  <c r="O112"/>
  <c r="P112"/>
  <c r="Q112"/>
  <c r="R112"/>
  <c r="S112"/>
  <c r="T112"/>
  <c r="U112"/>
  <c r="B112"/>
  <c r="C94"/>
  <c r="D94"/>
  <c r="E94"/>
  <c r="F94"/>
  <c r="G94"/>
  <c r="H94"/>
  <c r="I94"/>
  <c r="J94"/>
  <c r="K94"/>
  <c r="L94"/>
  <c r="M94"/>
  <c r="N94"/>
  <c r="O94"/>
  <c r="P94"/>
  <c r="Q94"/>
  <c r="R94"/>
  <c r="S94"/>
  <c r="T94"/>
  <c r="U94"/>
  <c r="B94"/>
  <c r="C390" i="13"/>
  <c r="D390"/>
  <c r="F390"/>
  <c r="G390"/>
  <c r="I390"/>
  <c r="J390"/>
  <c r="L390"/>
  <c r="M390"/>
  <c r="O390"/>
  <c r="P390"/>
  <c r="R390"/>
  <c r="S390"/>
  <c r="U390"/>
  <c r="C407"/>
  <c r="D407"/>
  <c r="F407"/>
  <c r="G407"/>
  <c r="I407"/>
  <c r="L407"/>
  <c r="M407"/>
  <c r="P407"/>
  <c r="R407"/>
  <c r="S407"/>
  <c r="U407"/>
  <c r="C373"/>
  <c r="D373"/>
  <c r="F373"/>
  <c r="G373"/>
  <c r="I373"/>
  <c r="J373"/>
  <c r="L373"/>
  <c r="M373"/>
  <c r="O373"/>
  <c r="P373"/>
  <c r="R373"/>
  <c r="S373"/>
  <c r="U373"/>
  <c r="C356"/>
  <c r="D356"/>
  <c r="F356"/>
  <c r="G356"/>
  <c r="I356"/>
  <c r="J356"/>
  <c r="L356"/>
  <c r="M356"/>
  <c r="O356"/>
  <c r="P356"/>
  <c r="R356"/>
  <c r="S356"/>
  <c r="U356"/>
  <c r="C337"/>
  <c r="D337"/>
  <c r="F337"/>
  <c r="G337"/>
  <c r="I337"/>
  <c r="L337"/>
  <c r="M337"/>
  <c r="P337"/>
  <c r="R337"/>
  <c r="S337"/>
  <c r="U337"/>
  <c r="C315"/>
  <c r="D315"/>
  <c r="F315"/>
  <c r="G315"/>
  <c r="I315"/>
  <c r="L315"/>
  <c r="M315"/>
  <c r="P315"/>
  <c r="R315"/>
  <c r="S315"/>
  <c r="U315"/>
  <c r="C297"/>
  <c r="D297"/>
  <c r="F297"/>
  <c r="G297"/>
  <c r="I297"/>
  <c r="J297"/>
  <c r="L297"/>
  <c r="M297"/>
  <c r="O297"/>
  <c r="P297"/>
  <c r="R297"/>
  <c r="S297"/>
  <c r="U297"/>
  <c r="C279"/>
  <c r="D279"/>
  <c r="F279"/>
  <c r="G279"/>
  <c r="I279"/>
  <c r="J279"/>
  <c r="L279"/>
  <c r="M279"/>
  <c r="O279"/>
  <c r="P279"/>
  <c r="R279"/>
  <c r="S279"/>
  <c r="U279"/>
  <c r="C261"/>
  <c r="D261"/>
  <c r="F261"/>
  <c r="G261"/>
  <c r="I261"/>
  <c r="J261"/>
  <c r="L261"/>
  <c r="M261"/>
  <c r="O261"/>
  <c r="P261"/>
  <c r="R261"/>
  <c r="S261"/>
  <c r="U261"/>
  <c r="E220"/>
  <c r="H220"/>
  <c r="K220"/>
  <c r="N220"/>
  <c r="Q220"/>
  <c r="T220"/>
  <c r="B220"/>
  <c r="E175"/>
  <c r="H175"/>
  <c r="H297" s="1"/>
  <c r="K175"/>
  <c r="N175"/>
  <c r="N297" s="1"/>
  <c r="Q175"/>
  <c r="T175"/>
  <c r="T297" s="1"/>
  <c r="B175"/>
  <c r="E133"/>
  <c r="E261" s="1"/>
  <c r="H133"/>
  <c r="H261" s="1"/>
  <c r="K133"/>
  <c r="K261" s="1"/>
  <c r="N133"/>
  <c r="N261" s="1"/>
  <c r="Q133"/>
  <c r="Q261" s="1"/>
  <c r="T133"/>
  <c r="T261" s="1"/>
  <c r="B133"/>
  <c r="V175" l="1"/>
  <c r="W175" s="1"/>
  <c r="N390"/>
  <c r="T390"/>
  <c r="H390"/>
  <c r="Q297"/>
  <c r="Q390"/>
  <c r="K297"/>
  <c r="K390"/>
  <c r="E297"/>
  <c r="E390"/>
  <c r="B390"/>
  <c r="V133"/>
  <c r="W133" s="1"/>
  <c r="B356"/>
  <c r="T356"/>
  <c r="N356"/>
  <c r="H356"/>
  <c r="B373"/>
  <c r="T373"/>
  <c r="N373"/>
  <c r="H373"/>
  <c r="Q356"/>
  <c r="K356"/>
  <c r="E356"/>
  <c r="Q373"/>
  <c r="K373"/>
  <c r="E373"/>
  <c r="V220"/>
  <c r="W220" s="1"/>
  <c r="Q279"/>
  <c r="K279"/>
  <c r="E279"/>
  <c r="B261"/>
  <c r="B279"/>
  <c r="T279"/>
  <c r="N279"/>
  <c r="H279"/>
  <c r="B297"/>
  <c r="C241" l="1"/>
  <c r="D241"/>
  <c r="F241"/>
  <c r="G241"/>
  <c r="I241"/>
  <c r="L241"/>
  <c r="M241"/>
  <c r="P241"/>
  <c r="R241"/>
  <c r="S241"/>
  <c r="U241"/>
  <c r="O65"/>
  <c r="J65"/>
  <c r="E65"/>
  <c r="T65"/>
  <c r="Q65"/>
  <c r="N65"/>
  <c r="K65"/>
  <c r="H65"/>
  <c r="B65"/>
  <c r="C400"/>
  <c r="D400"/>
  <c r="E400"/>
  <c r="F400"/>
  <c r="G400"/>
  <c r="H400"/>
  <c r="I400"/>
  <c r="J400"/>
  <c r="K400"/>
  <c r="L400"/>
  <c r="M400"/>
  <c r="N400"/>
  <c r="O400"/>
  <c r="P400"/>
  <c r="Q400"/>
  <c r="R400"/>
  <c r="S400"/>
  <c r="T400"/>
  <c r="U400"/>
  <c r="B400"/>
  <c r="C383"/>
  <c r="D383"/>
  <c r="E383"/>
  <c r="F383"/>
  <c r="G383"/>
  <c r="H383"/>
  <c r="I383"/>
  <c r="J383"/>
  <c r="K383"/>
  <c r="L383"/>
  <c r="M383"/>
  <c r="N383"/>
  <c r="O383"/>
  <c r="P383"/>
  <c r="Q383"/>
  <c r="R383"/>
  <c r="S383"/>
  <c r="T383"/>
  <c r="U383"/>
  <c r="B383"/>
  <c r="C306"/>
  <c r="D306"/>
  <c r="E306"/>
  <c r="F306"/>
  <c r="G306"/>
  <c r="H306"/>
  <c r="I306"/>
  <c r="J306"/>
  <c r="K306"/>
  <c r="L306"/>
  <c r="M306"/>
  <c r="N306"/>
  <c r="O306"/>
  <c r="P306"/>
  <c r="Q306"/>
  <c r="R306"/>
  <c r="S306"/>
  <c r="T306"/>
  <c r="U306"/>
  <c r="B306"/>
  <c r="C288"/>
  <c r="D288"/>
  <c r="E288"/>
  <c r="F288"/>
  <c r="G288"/>
  <c r="H288"/>
  <c r="I288"/>
  <c r="J288"/>
  <c r="K288"/>
  <c r="L288"/>
  <c r="M288"/>
  <c r="N288"/>
  <c r="O288"/>
  <c r="P288"/>
  <c r="Q288"/>
  <c r="R288"/>
  <c r="S288"/>
  <c r="T288"/>
  <c r="U288"/>
  <c r="B288"/>
  <c r="B22" i="15" l="1"/>
  <c r="T22"/>
  <c r="R22"/>
  <c r="P22"/>
  <c r="N22"/>
  <c r="L22"/>
  <c r="J22"/>
  <c r="H22"/>
  <c r="F22"/>
  <c r="D22"/>
  <c r="U22"/>
  <c r="S22"/>
  <c r="Q22"/>
  <c r="O22"/>
  <c r="M22"/>
  <c r="K22"/>
  <c r="I22"/>
  <c r="G22"/>
  <c r="E22"/>
  <c r="C22"/>
  <c r="B337" i="13"/>
  <c r="B407"/>
  <c r="K337"/>
  <c r="K407"/>
  <c r="Q337"/>
  <c r="Q407"/>
  <c r="E337"/>
  <c r="E407"/>
  <c r="O407"/>
  <c r="O337"/>
  <c r="H337"/>
  <c r="H407"/>
  <c r="N337"/>
  <c r="N407"/>
  <c r="T337"/>
  <c r="T407"/>
  <c r="J407"/>
  <c r="J337"/>
  <c r="H241"/>
  <c r="H315"/>
  <c r="N241"/>
  <c r="N315"/>
  <c r="T241"/>
  <c r="T315"/>
  <c r="J241"/>
  <c r="J315"/>
  <c r="B241"/>
  <c r="B315"/>
  <c r="K241"/>
  <c r="K315"/>
  <c r="Q241"/>
  <c r="Q315"/>
  <c r="E241"/>
  <c r="E315"/>
  <c r="O241"/>
  <c r="O315"/>
  <c r="V65"/>
  <c r="W65" s="1"/>
  <c r="B842"/>
  <c r="E408" i="9"/>
  <c r="E402"/>
  <c r="E396"/>
  <c r="E390"/>
  <c r="B45" i="14"/>
  <c r="B46"/>
  <c r="B44"/>
  <c r="V407" i="13" l="1"/>
  <c r="V85" i="4"/>
  <c r="W85" s="1"/>
  <c r="V396" i="13" l="1"/>
  <c r="W396" s="1"/>
  <c r="V379"/>
  <c r="W379" s="1"/>
  <c r="V359"/>
  <c r="W359" s="1"/>
  <c r="C340"/>
  <c r="D340"/>
  <c r="E340"/>
  <c r="F340"/>
  <c r="G340"/>
  <c r="H340"/>
  <c r="I340"/>
  <c r="J340"/>
  <c r="K340"/>
  <c r="L340"/>
  <c r="M340"/>
  <c r="N340"/>
  <c r="O340"/>
  <c r="P340"/>
  <c r="Q340"/>
  <c r="R340"/>
  <c r="S340"/>
  <c r="T340"/>
  <c r="U340"/>
  <c r="V300"/>
  <c r="W300" s="1"/>
  <c r="V303"/>
  <c r="W303" s="1"/>
  <c r="V282"/>
  <c r="W282" s="1"/>
  <c r="V264"/>
  <c r="W264" s="1"/>
  <c r="C244"/>
  <c r="D244"/>
  <c r="E244"/>
  <c r="F244"/>
  <c r="G244"/>
  <c r="H244"/>
  <c r="I244"/>
  <c r="J244"/>
  <c r="K244"/>
  <c r="L244"/>
  <c r="M244"/>
  <c r="N244"/>
  <c r="O244"/>
  <c r="P244"/>
  <c r="Q244"/>
  <c r="R244"/>
  <c r="S244"/>
  <c r="T244"/>
  <c r="U244"/>
  <c r="C318"/>
  <c r="D318"/>
  <c r="E318"/>
  <c r="F318"/>
  <c r="G318"/>
  <c r="H318"/>
  <c r="I318"/>
  <c r="J318"/>
  <c r="K318"/>
  <c r="L318"/>
  <c r="M318"/>
  <c r="N318"/>
  <c r="O318"/>
  <c r="P318"/>
  <c r="Q318"/>
  <c r="R318"/>
  <c r="S318"/>
  <c r="T318"/>
  <c r="U318"/>
  <c r="C410"/>
  <c r="D410"/>
  <c r="E410"/>
  <c r="F410"/>
  <c r="G410"/>
  <c r="H410"/>
  <c r="I410"/>
  <c r="J410"/>
  <c r="K410"/>
  <c r="L410"/>
  <c r="M410"/>
  <c r="N410"/>
  <c r="O410"/>
  <c r="P410"/>
  <c r="Q410"/>
  <c r="R410"/>
  <c r="S410"/>
  <c r="T410"/>
  <c r="U410"/>
  <c r="E384" i="9" l="1"/>
  <c r="V393" i="13" l="1"/>
  <c r="W393" s="1"/>
  <c r="V376"/>
  <c r="W376" s="1"/>
  <c r="V298"/>
  <c r="W298" s="1"/>
  <c r="V285"/>
  <c r="W285" s="1"/>
  <c r="E409" i="9"/>
  <c r="E407"/>
  <c r="E403"/>
  <c r="B391" i="13" s="1"/>
  <c r="E401" i="9"/>
  <c r="E397"/>
  <c r="B357" i="13" s="1"/>
  <c r="E395" i="9"/>
  <c r="E391"/>
  <c r="B242" i="13" s="1"/>
  <c r="E389" i="9"/>
  <c r="E383"/>
  <c r="E385"/>
  <c r="F7" i="10"/>
  <c r="E7"/>
  <c r="C556" i="13"/>
  <c r="D556"/>
  <c r="F556"/>
  <c r="G556"/>
  <c r="I556"/>
  <c r="J556"/>
  <c r="L556"/>
  <c r="M556"/>
  <c r="O556"/>
  <c r="P556"/>
  <c r="R556"/>
  <c r="S556"/>
  <c r="U556"/>
  <c r="C549"/>
  <c r="D549"/>
  <c r="F549"/>
  <c r="G549"/>
  <c r="I549"/>
  <c r="J549"/>
  <c r="L549"/>
  <c r="M549"/>
  <c r="O549"/>
  <c r="P549"/>
  <c r="R549"/>
  <c r="S549"/>
  <c r="U549"/>
  <c r="T19"/>
  <c r="T556" s="1"/>
  <c r="Q19"/>
  <c r="Q556" s="1"/>
  <c r="N19"/>
  <c r="N556" s="1"/>
  <c r="K19"/>
  <c r="K556" s="1"/>
  <c r="H19"/>
  <c r="H556" s="1"/>
  <c r="E19"/>
  <c r="E556" s="1"/>
  <c r="B19"/>
  <c r="B556" s="1"/>
  <c r="T18"/>
  <c r="T549" s="1"/>
  <c r="Q18"/>
  <c r="Q549" s="1"/>
  <c r="N18"/>
  <c r="N549" s="1"/>
  <c r="K18"/>
  <c r="K549" s="1"/>
  <c r="H18"/>
  <c r="H549" s="1"/>
  <c r="E18"/>
  <c r="E549" s="1"/>
  <c r="B18"/>
  <c r="B549" s="1"/>
  <c r="V400" l="1"/>
  <c r="W400" s="1"/>
  <c r="B280"/>
  <c r="V280" s="1"/>
  <c r="W280" s="1"/>
  <c r="B374"/>
  <c r="V391"/>
  <c r="W391" s="1"/>
  <c r="B338"/>
  <c r="V242"/>
  <c r="W242" s="1"/>
  <c r="B408"/>
  <c r="B262"/>
  <c r="B316"/>
  <c r="V357"/>
  <c r="W357" s="1"/>
  <c r="V556"/>
  <c r="W556" s="1"/>
  <c r="V549"/>
  <c r="W549" s="1"/>
  <c r="V18"/>
  <c r="W18" s="1"/>
  <c r="V19"/>
  <c r="W19" s="1"/>
  <c r="B22"/>
  <c r="B16"/>
  <c r="B493" l="1"/>
  <c r="V338"/>
  <c r="W338" s="1"/>
  <c r="V374"/>
  <c r="W374" s="1"/>
  <c r="V408"/>
  <c r="W408" s="1"/>
  <c r="V316"/>
  <c r="W316" s="1"/>
  <c r="V383"/>
  <c r="W383" s="1"/>
  <c r="V262"/>
  <c r="W262" s="1"/>
  <c r="B244"/>
  <c r="B340"/>
  <c r="B348" s="1"/>
  <c r="V348" s="1"/>
  <c r="W348" s="1"/>
  <c r="B410"/>
  <c r="V410" s="1"/>
  <c r="W410" s="1"/>
  <c r="B318"/>
  <c r="C1003"/>
  <c r="D1003"/>
  <c r="E1003"/>
  <c r="F1003"/>
  <c r="G1003"/>
  <c r="H1003"/>
  <c r="I1003"/>
  <c r="J1003"/>
  <c r="K1003"/>
  <c r="L1003"/>
  <c r="M1003"/>
  <c r="N1003"/>
  <c r="O1003"/>
  <c r="P1003"/>
  <c r="Q1003"/>
  <c r="R1003"/>
  <c r="S1003"/>
  <c r="T1003"/>
  <c r="U1003"/>
  <c r="B1003"/>
  <c r="C996"/>
  <c r="D996"/>
  <c r="E996"/>
  <c r="F996"/>
  <c r="G996"/>
  <c r="H996"/>
  <c r="I996"/>
  <c r="J996"/>
  <c r="K996"/>
  <c r="L996"/>
  <c r="M996"/>
  <c r="N996"/>
  <c r="O996"/>
  <c r="P996"/>
  <c r="Q996"/>
  <c r="R996"/>
  <c r="S996"/>
  <c r="T996"/>
  <c r="U996"/>
  <c r="B996"/>
  <c r="C982"/>
  <c r="D982"/>
  <c r="E982"/>
  <c r="F982"/>
  <c r="G982"/>
  <c r="H982"/>
  <c r="I982"/>
  <c r="J982"/>
  <c r="K982"/>
  <c r="L982"/>
  <c r="M982"/>
  <c r="N982"/>
  <c r="O982"/>
  <c r="P982"/>
  <c r="Q982"/>
  <c r="R982"/>
  <c r="S982"/>
  <c r="T982"/>
  <c r="U982"/>
  <c r="B982"/>
  <c r="C975"/>
  <c r="D975"/>
  <c r="E975"/>
  <c r="F975"/>
  <c r="G975"/>
  <c r="H975"/>
  <c r="I975"/>
  <c r="J975"/>
  <c r="K975"/>
  <c r="L975"/>
  <c r="M975"/>
  <c r="N975"/>
  <c r="O975"/>
  <c r="P975"/>
  <c r="Q975"/>
  <c r="R975"/>
  <c r="S975"/>
  <c r="T975"/>
  <c r="U975"/>
  <c r="B975"/>
  <c r="C968"/>
  <c r="D968"/>
  <c r="E968"/>
  <c r="F968"/>
  <c r="G968"/>
  <c r="H968"/>
  <c r="I968"/>
  <c r="J968"/>
  <c r="K968"/>
  <c r="L968"/>
  <c r="M968"/>
  <c r="N968"/>
  <c r="O968"/>
  <c r="P968"/>
  <c r="Q968"/>
  <c r="R968"/>
  <c r="S968"/>
  <c r="T968"/>
  <c r="U968"/>
  <c r="B968"/>
  <c r="C954"/>
  <c r="D954"/>
  <c r="E954"/>
  <c r="F954"/>
  <c r="G954"/>
  <c r="H954"/>
  <c r="I954"/>
  <c r="J954"/>
  <c r="K954"/>
  <c r="L954"/>
  <c r="M954"/>
  <c r="N954"/>
  <c r="O954"/>
  <c r="P954"/>
  <c r="Q954"/>
  <c r="R954"/>
  <c r="S954"/>
  <c r="T954"/>
  <c r="U954"/>
  <c r="B954"/>
  <c r="C926"/>
  <c r="D926"/>
  <c r="E926"/>
  <c r="F926"/>
  <c r="G926"/>
  <c r="H926"/>
  <c r="I926"/>
  <c r="J926"/>
  <c r="K926"/>
  <c r="L926"/>
  <c r="M926"/>
  <c r="N926"/>
  <c r="O926"/>
  <c r="P926"/>
  <c r="Q926"/>
  <c r="R926"/>
  <c r="S926"/>
  <c r="T926"/>
  <c r="U926"/>
  <c r="B926"/>
  <c r="C912"/>
  <c r="D912"/>
  <c r="E912"/>
  <c r="F912"/>
  <c r="G912"/>
  <c r="H912"/>
  <c r="I912"/>
  <c r="J912"/>
  <c r="K912"/>
  <c r="L912"/>
  <c r="M912"/>
  <c r="N912"/>
  <c r="O912"/>
  <c r="P912"/>
  <c r="Q912"/>
  <c r="R912"/>
  <c r="S912"/>
  <c r="T912"/>
  <c r="U912"/>
  <c r="B912"/>
  <c r="C905"/>
  <c r="D905"/>
  <c r="E905"/>
  <c r="F905"/>
  <c r="G905"/>
  <c r="H905"/>
  <c r="I905"/>
  <c r="J905"/>
  <c r="K905"/>
  <c r="L905"/>
  <c r="M905"/>
  <c r="N905"/>
  <c r="O905"/>
  <c r="P905"/>
  <c r="Q905"/>
  <c r="R905"/>
  <c r="S905"/>
  <c r="T905"/>
  <c r="U905"/>
  <c r="B905"/>
  <c r="C877"/>
  <c r="D877"/>
  <c r="E877"/>
  <c r="F877"/>
  <c r="G877"/>
  <c r="H877"/>
  <c r="I877"/>
  <c r="J877"/>
  <c r="K877"/>
  <c r="L877"/>
  <c r="M877"/>
  <c r="N877"/>
  <c r="O877"/>
  <c r="P877"/>
  <c r="Q877"/>
  <c r="R877"/>
  <c r="S877"/>
  <c r="T877"/>
  <c r="U877"/>
  <c r="B877"/>
  <c r="C863"/>
  <c r="D863"/>
  <c r="E863"/>
  <c r="F863"/>
  <c r="G863"/>
  <c r="H863"/>
  <c r="I863"/>
  <c r="J863"/>
  <c r="K863"/>
  <c r="L863"/>
  <c r="M863"/>
  <c r="N863"/>
  <c r="O863"/>
  <c r="P863"/>
  <c r="Q863"/>
  <c r="R863"/>
  <c r="S863"/>
  <c r="T863"/>
  <c r="U863"/>
  <c r="B863"/>
  <c r="C849"/>
  <c r="D849"/>
  <c r="E849"/>
  <c r="F849"/>
  <c r="G849"/>
  <c r="H849"/>
  <c r="I849"/>
  <c r="J849"/>
  <c r="K849"/>
  <c r="L849"/>
  <c r="M849"/>
  <c r="N849"/>
  <c r="O849"/>
  <c r="P849"/>
  <c r="Q849"/>
  <c r="R849"/>
  <c r="S849"/>
  <c r="T849"/>
  <c r="U849"/>
  <c r="B849"/>
  <c r="C842"/>
  <c r="D842"/>
  <c r="E842"/>
  <c r="F842"/>
  <c r="G842"/>
  <c r="H842"/>
  <c r="I842"/>
  <c r="J842"/>
  <c r="K842"/>
  <c r="L842"/>
  <c r="M842"/>
  <c r="N842"/>
  <c r="O842"/>
  <c r="P842"/>
  <c r="Q842"/>
  <c r="R842"/>
  <c r="S842"/>
  <c r="T842"/>
  <c r="U842"/>
  <c r="C819"/>
  <c r="D819"/>
  <c r="E819"/>
  <c r="F819"/>
  <c r="G819"/>
  <c r="H819"/>
  <c r="I819"/>
  <c r="J819"/>
  <c r="K819"/>
  <c r="L819"/>
  <c r="M819"/>
  <c r="N819"/>
  <c r="O819"/>
  <c r="P819"/>
  <c r="Q819"/>
  <c r="R819"/>
  <c r="S819"/>
  <c r="T819"/>
  <c r="U819"/>
  <c r="B819"/>
  <c r="C805"/>
  <c r="D805"/>
  <c r="E805"/>
  <c r="F805"/>
  <c r="G805"/>
  <c r="H805"/>
  <c r="I805"/>
  <c r="J805"/>
  <c r="K805"/>
  <c r="L805"/>
  <c r="M805"/>
  <c r="N805"/>
  <c r="O805"/>
  <c r="P805"/>
  <c r="Q805"/>
  <c r="R805"/>
  <c r="S805"/>
  <c r="T805"/>
  <c r="U805"/>
  <c r="B805"/>
  <c r="C798"/>
  <c r="D798"/>
  <c r="E798"/>
  <c r="F798"/>
  <c r="G798"/>
  <c r="H798"/>
  <c r="I798"/>
  <c r="J798"/>
  <c r="K798"/>
  <c r="L798"/>
  <c r="M798"/>
  <c r="N798"/>
  <c r="O798"/>
  <c r="P798"/>
  <c r="Q798"/>
  <c r="R798"/>
  <c r="S798"/>
  <c r="T798"/>
  <c r="U798"/>
  <c r="B798"/>
  <c r="C791"/>
  <c r="D791"/>
  <c r="E791"/>
  <c r="F791"/>
  <c r="G791"/>
  <c r="H791"/>
  <c r="I791"/>
  <c r="J791"/>
  <c r="K791"/>
  <c r="L791"/>
  <c r="M791"/>
  <c r="N791"/>
  <c r="O791"/>
  <c r="P791"/>
  <c r="Q791"/>
  <c r="R791"/>
  <c r="S791"/>
  <c r="T791"/>
  <c r="U791"/>
  <c r="B791"/>
  <c r="C784"/>
  <c r="D784"/>
  <c r="E784"/>
  <c r="F784"/>
  <c r="G784"/>
  <c r="H784"/>
  <c r="I784"/>
  <c r="J784"/>
  <c r="K784"/>
  <c r="L784"/>
  <c r="M784"/>
  <c r="N784"/>
  <c r="O784"/>
  <c r="P784"/>
  <c r="Q784"/>
  <c r="R784"/>
  <c r="S784"/>
  <c r="T784"/>
  <c r="U784"/>
  <c r="B784"/>
  <c r="C777"/>
  <c r="D777"/>
  <c r="E777"/>
  <c r="F777"/>
  <c r="G777"/>
  <c r="H777"/>
  <c r="I777"/>
  <c r="J777"/>
  <c r="K777"/>
  <c r="L777"/>
  <c r="M777"/>
  <c r="N777"/>
  <c r="O777"/>
  <c r="P777"/>
  <c r="Q777"/>
  <c r="R777"/>
  <c r="S777"/>
  <c r="T777"/>
  <c r="U777"/>
  <c r="B777"/>
  <c r="U770"/>
  <c r="C770"/>
  <c r="D770"/>
  <c r="E770"/>
  <c r="F770"/>
  <c r="G770"/>
  <c r="H770"/>
  <c r="I770"/>
  <c r="J770"/>
  <c r="K770"/>
  <c r="L770"/>
  <c r="M770"/>
  <c r="N770"/>
  <c r="O770"/>
  <c r="P770"/>
  <c r="Q770"/>
  <c r="R770"/>
  <c r="S770"/>
  <c r="T770"/>
  <c r="B770"/>
  <c r="C763"/>
  <c r="D763"/>
  <c r="E763"/>
  <c r="F763"/>
  <c r="G763"/>
  <c r="H763"/>
  <c r="I763"/>
  <c r="J763"/>
  <c r="K763"/>
  <c r="L763"/>
  <c r="M763"/>
  <c r="N763"/>
  <c r="O763"/>
  <c r="P763"/>
  <c r="Q763"/>
  <c r="R763"/>
  <c r="S763"/>
  <c r="T763"/>
  <c r="U763"/>
  <c r="B763"/>
  <c r="C734"/>
  <c r="D734"/>
  <c r="E734"/>
  <c r="F734"/>
  <c r="G734"/>
  <c r="H734"/>
  <c r="I734"/>
  <c r="J734"/>
  <c r="K734"/>
  <c r="L734"/>
  <c r="M734"/>
  <c r="N734"/>
  <c r="O734"/>
  <c r="P734"/>
  <c r="Q734"/>
  <c r="R734"/>
  <c r="S734"/>
  <c r="T734"/>
  <c r="U734"/>
  <c r="B734"/>
  <c r="C726"/>
  <c r="D726"/>
  <c r="E726"/>
  <c r="F726"/>
  <c r="G726"/>
  <c r="H726"/>
  <c r="I726"/>
  <c r="J726"/>
  <c r="K726"/>
  <c r="L726"/>
  <c r="M726"/>
  <c r="N726"/>
  <c r="O726"/>
  <c r="P726"/>
  <c r="Q726"/>
  <c r="R726"/>
  <c r="S726"/>
  <c r="T726"/>
  <c r="U726"/>
  <c r="B726"/>
  <c r="C719"/>
  <c r="D719"/>
  <c r="E719"/>
  <c r="F719"/>
  <c r="G719"/>
  <c r="H719"/>
  <c r="I719"/>
  <c r="J719"/>
  <c r="K719"/>
  <c r="L719"/>
  <c r="M719"/>
  <c r="N719"/>
  <c r="O719"/>
  <c r="P719"/>
  <c r="Q719"/>
  <c r="R719"/>
  <c r="S719"/>
  <c r="T719"/>
  <c r="U719"/>
  <c r="B719"/>
  <c r="C712"/>
  <c r="D712"/>
  <c r="E712"/>
  <c r="F712"/>
  <c r="G712"/>
  <c r="H712"/>
  <c r="I712"/>
  <c r="J712"/>
  <c r="K712"/>
  <c r="L712"/>
  <c r="M712"/>
  <c r="N712"/>
  <c r="O712"/>
  <c r="P712"/>
  <c r="Q712"/>
  <c r="R712"/>
  <c r="S712"/>
  <c r="T712"/>
  <c r="U712"/>
  <c r="B712"/>
  <c r="C705"/>
  <c r="D705"/>
  <c r="E705"/>
  <c r="F705"/>
  <c r="G705"/>
  <c r="H705"/>
  <c r="I705"/>
  <c r="J705"/>
  <c r="K705"/>
  <c r="L705"/>
  <c r="M705"/>
  <c r="N705"/>
  <c r="O705"/>
  <c r="P705"/>
  <c r="Q705"/>
  <c r="R705"/>
  <c r="S705"/>
  <c r="T705"/>
  <c r="U705"/>
  <c r="B705"/>
  <c r="C698"/>
  <c r="D698"/>
  <c r="E698"/>
  <c r="F698"/>
  <c r="G698"/>
  <c r="H698"/>
  <c r="I698"/>
  <c r="J698"/>
  <c r="K698"/>
  <c r="L698"/>
  <c r="M698"/>
  <c r="N698"/>
  <c r="O698"/>
  <c r="P698"/>
  <c r="Q698"/>
  <c r="R698"/>
  <c r="S698"/>
  <c r="T698"/>
  <c r="U698"/>
  <c r="B698"/>
  <c r="C691"/>
  <c r="D691"/>
  <c r="E691"/>
  <c r="F691"/>
  <c r="G691"/>
  <c r="H691"/>
  <c r="I691"/>
  <c r="J691"/>
  <c r="K691"/>
  <c r="L691"/>
  <c r="M691"/>
  <c r="N691"/>
  <c r="O691"/>
  <c r="P691"/>
  <c r="Q691"/>
  <c r="R691"/>
  <c r="S691"/>
  <c r="T691"/>
  <c r="U691"/>
  <c r="B691"/>
  <c r="C684"/>
  <c r="D684"/>
  <c r="E684"/>
  <c r="F684"/>
  <c r="G684"/>
  <c r="H684"/>
  <c r="I684"/>
  <c r="J684"/>
  <c r="K684"/>
  <c r="L684"/>
  <c r="M684"/>
  <c r="N684"/>
  <c r="O684"/>
  <c r="P684"/>
  <c r="Q684"/>
  <c r="R684"/>
  <c r="S684"/>
  <c r="T684"/>
  <c r="U684"/>
  <c r="B684"/>
  <c r="C438"/>
  <c r="D438"/>
  <c r="E438"/>
  <c r="F438"/>
  <c r="G438"/>
  <c r="H438"/>
  <c r="I438"/>
  <c r="J438"/>
  <c r="K438"/>
  <c r="L438"/>
  <c r="M438"/>
  <c r="N438"/>
  <c r="O438"/>
  <c r="P438"/>
  <c r="Q438"/>
  <c r="R438"/>
  <c r="S438"/>
  <c r="T438"/>
  <c r="U438"/>
  <c r="B438"/>
  <c r="V244" l="1"/>
  <c r="W244" s="1"/>
  <c r="B253"/>
  <c r="V340"/>
  <c r="W340" s="1"/>
  <c r="V318"/>
  <c r="W318" s="1"/>
  <c r="C599"/>
  <c r="C600" s="1"/>
  <c r="C602" s="1"/>
  <c r="D599"/>
  <c r="D600" s="1"/>
  <c r="D602" s="1"/>
  <c r="E599"/>
  <c r="E600" s="1"/>
  <c r="E602" s="1"/>
  <c r="F599"/>
  <c r="F600" s="1"/>
  <c r="F602" s="1"/>
  <c r="G599"/>
  <c r="G600" s="1"/>
  <c r="G602" s="1"/>
  <c r="H599"/>
  <c r="H600" s="1"/>
  <c r="H602" s="1"/>
  <c r="I599"/>
  <c r="I600" s="1"/>
  <c r="I602" s="1"/>
  <c r="J599"/>
  <c r="J600" s="1"/>
  <c r="J602" s="1"/>
  <c r="K599"/>
  <c r="K600" s="1"/>
  <c r="K602" s="1"/>
  <c r="L599"/>
  <c r="L600" s="1"/>
  <c r="L602" s="1"/>
  <c r="M599"/>
  <c r="M600" s="1"/>
  <c r="M602" s="1"/>
  <c r="N599"/>
  <c r="N600" s="1"/>
  <c r="N602" s="1"/>
  <c r="O599"/>
  <c r="O600" s="1"/>
  <c r="O602" s="1"/>
  <c r="P599"/>
  <c r="P600" s="1"/>
  <c r="P602" s="1"/>
  <c r="Q599"/>
  <c r="Q600" s="1"/>
  <c r="Q602" s="1"/>
  <c r="R599"/>
  <c r="R600" s="1"/>
  <c r="R602" s="1"/>
  <c r="S599"/>
  <c r="S600" s="1"/>
  <c r="S602" s="1"/>
  <c r="T599"/>
  <c r="T600" s="1"/>
  <c r="T602" s="1"/>
  <c r="U599"/>
  <c r="U600" s="1"/>
  <c r="U602" s="1"/>
  <c r="B599"/>
  <c r="B600" s="1"/>
  <c r="B602" s="1"/>
  <c r="C592"/>
  <c r="C593" s="1"/>
  <c r="C595" s="1"/>
  <c r="D592"/>
  <c r="D593" s="1"/>
  <c r="D595" s="1"/>
  <c r="E592"/>
  <c r="F592"/>
  <c r="F593" s="1"/>
  <c r="F595" s="1"/>
  <c r="G592"/>
  <c r="G593" s="1"/>
  <c r="G595" s="1"/>
  <c r="H592"/>
  <c r="H593" s="1"/>
  <c r="H595" s="1"/>
  <c r="I592"/>
  <c r="I593" s="1"/>
  <c r="I595" s="1"/>
  <c r="J592"/>
  <c r="J593" s="1"/>
  <c r="J595" s="1"/>
  <c r="K592"/>
  <c r="K593" s="1"/>
  <c r="K595" s="1"/>
  <c r="L592"/>
  <c r="L593" s="1"/>
  <c r="L595" s="1"/>
  <c r="M592"/>
  <c r="M593" s="1"/>
  <c r="M595" s="1"/>
  <c r="N592"/>
  <c r="N593" s="1"/>
  <c r="N595" s="1"/>
  <c r="O592"/>
  <c r="O593" s="1"/>
  <c r="O595" s="1"/>
  <c r="P592"/>
  <c r="P593" s="1"/>
  <c r="P595" s="1"/>
  <c r="Q592"/>
  <c r="Q593" s="1"/>
  <c r="Q595" s="1"/>
  <c r="R592"/>
  <c r="R593" s="1"/>
  <c r="R595" s="1"/>
  <c r="S592"/>
  <c r="S593" s="1"/>
  <c r="S595" s="1"/>
  <c r="T592"/>
  <c r="T593" s="1"/>
  <c r="T595" s="1"/>
  <c r="U592"/>
  <c r="U593" s="1"/>
  <c r="U595" s="1"/>
  <c r="B592"/>
  <c r="B593" s="1"/>
  <c r="B595" s="1"/>
  <c r="C585"/>
  <c r="C586" s="1"/>
  <c r="C588" s="1"/>
  <c r="D585"/>
  <c r="D586" s="1"/>
  <c r="D588" s="1"/>
  <c r="E585"/>
  <c r="E586" s="1"/>
  <c r="E588" s="1"/>
  <c r="F585"/>
  <c r="F586" s="1"/>
  <c r="F588" s="1"/>
  <c r="G585"/>
  <c r="G586" s="1"/>
  <c r="G588" s="1"/>
  <c r="H585"/>
  <c r="H586" s="1"/>
  <c r="H588" s="1"/>
  <c r="I585"/>
  <c r="I586" s="1"/>
  <c r="I588" s="1"/>
  <c r="J585"/>
  <c r="J586" s="1"/>
  <c r="J588" s="1"/>
  <c r="K585"/>
  <c r="K586" s="1"/>
  <c r="K588" s="1"/>
  <c r="L585"/>
  <c r="L586" s="1"/>
  <c r="L588" s="1"/>
  <c r="M585"/>
  <c r="M586" s="1"/>
  <c r="M588" s="1"/>
  <c r="N585"/>
  <c r="N586" s="1"/>
  <c r="N588" s="1"/>
  <c r="O585"/>
  <c r="O586" s="1"/>
  <c r="O588" s="1"/>
  <c r="P585"/>
  <c r="P586" s="1"/>
  <c r="P588" s="1"/>
  <c r="Q585"/>
  <c r="Q586" s="1"/>
  <c r="Q588" s="1"/>
  <c r="R585"/>
  <c r="R586" s="1"/>
  <c r="R588" s="1"/>
  <c r="S585"/>
  <c r="T585"/>
  <c r="T586" s="1"/>
  <c r="T588" s="1"/>
  <c r="U585"/>
  <c r="U586" s="1"/>
  <c r="U588" s="1"/>
  <c r="B585"/>
  <c r="B586" s="1"/>
  <c r="B588" s="1"/>
  <c r="C550"/>
  <c r="C551" s="1"/>
  <c r="C553" s="1"/>
  <c r="D550"/>
  <c r="D551" s="1"/>
  <c r="D553" s="1"/>
  <c r="E550"/>
  <c r="E551" s="1"/>
  <c r="E553" s="1"/>
  <c r="F550"/>
  <c r="F551" s="1"/>
  <c r="F553" s="1"/>
  <c r="G550"/>
  <c r="G551" s="1"/>
  <c r="G553" s="1"/>
  <c r="H550"/>
  <c r="H551" s="1"/>
  <c r="H553" s="1"/>
  <c r="I550"/>
  <c r="I551" s="1"/>
  <c r="I553" s="1"/>
  <c r="J550"/>
  <c r="J551" s="1"/>
  <c r="J553" s="1"/>
  <c r="K550"/>
  <c r="K551" s="1"/>
  <c r="K553" s="1"/>
  <c r="L550"/>
  <c r="L551" s="1"/>
  <c r="L553" s="1"/>
  <c r="M550"/>
  <c r="M551" s="1"/>
  <c r="M553" s="1"/>
  <c r="N550"/>
  <c r="N551" s="1"/>
  <c r="N553" s="1"/>
  <c r="O550"/>
  <c r="O551" s="1"/>
  <c r="O553" s="1"/>
  <c r="P550"/>
  <c r="P551" s="1"/>
  <c r="P553" s="1"/>
  <c r="Q550"/>
  <c r="Q551" s="1"/>
  <c r="Q553" s="1"/>
  <c r="R550"/>
  <c r="R551" s="1"/>
  <c r="R553" s="1"/>
  <c r="S550"/>
  <c r="S551" s="1"/>
  <c r="S553" s="1"/>
  <c r="T550"/>
  <c r="T551" s="1"/>
  <c r="T553" s="1"/>
  <c r="U550"/>
  <c r="U551" s="1"/>
  <c r="U553" s="1"/>
  <c r="B550"/>
  <c r="B551" s="1"/>
  <c r="B553" s="1"/>
  <c r="C543"/>
  <c r="C544" s="1"/>
  <c r="C546" s="1"/>
  <c r="D543"/>
  <c r="D544" s="1"/>
  <c r="D546" s="1"/>
  <c r="E543"/>
  <c r="E544" s="1"/>
  <c r="E546" s="1"/>
  <c r="F543"/>
  <c r="F544" s="1"/>
  <c r="F546" s="1"/>
  <c r="G543"/>
  <c r="G544" s="1"/>
  <c r="G546" s="1"/>
  <c r="H543"/>
  <c r="H544" s="1"/>
  <c r="H546" s="1"/>
  <c r="I543"/>
  <c r="I544" s="1"/>
  <c r="I546" s="1"/>
  <c r="J543"/>
  <c r="J544" s="1"/>
  <c r="J546" s="1"/>
  <c r="K543"/>
  <c r="L543"/>
  <c r="L544" s="1"/>
  <c r="L546" s="1"/>
  <c r="M543"/>
  <c r="M544" s="1"/>
  <c r="M546" s="1"/>
  <c r="N543"/>
  <c r="N544" s="1"/>
  <c r="N546" s="1"/>
  <c r="O543"/>
  <c r="O544" s="1"/>
  <c r="O546" s="1"/>
  <c r="P543"/>
  <c r="P544" s="1"/>
  <c r="P546" s="1"/>
  <c r="Q543"/>
  <c r="Q544" s="1"/>
  <c r="Q546" s="1"/>
  <c r="R543"/>
  <c r="R544" s="1"/>
  <c r="R546" s="1"/>
  <c r="S543"/>
  <c r="S544" s="1"/>
  <c r="S546" s="1"/>
  <c r="T543"/>
  <c r="T544" s="1"/>
  <c r="T546" s="1"/>
  <c r="U543"/>
  <c r="U544" s="1"/>
  <c r="U546" s="1"/>
  <c r="B543"/>
  <c r="B544" s="1"/>
  <c r="B546" s="1"/>
  <c r="C529"/>
  <c r="C530" s="1"/>
  <c r="C532" s="1"/>
  <c r="D529"/>
  <c r="D530" s="1"/>
  <c r="D532" s="1"/>
  <c r="E529"/>
  <c r="E530" s="1"/>
  <c r="E532" s="1"/>
  <c r="F529"/>
  <c r="F530" s="1"/>
  <c r="F532" s="1"/>
  <c r="G529"/>
  <c r="G530" s="1"/>
  <c r="G532" s="1"/>
  <c r="H529"/>
  <c r="H530" s="1"/>
  <c r="H532" s="1"/>
  <c r="I529"/>
  <c r="I530" s="1"/>
  <c r="I532" s="1"/>
  <c r="J529"/>
  <c r="J530" s="1"/>
  <c r="J532" s="1"/>
  <c r="K529"/>
  <c r="K530" s="1"/>
  <c r="K532" s="1"/>
  <c r="L529"/>
  <c r="L530" s="1"/>
  <c r="L532" s="1"/>
  <c r="M529"/>
  <c r="M530" s="1"/>
  <c r="M532" s="1"/>
  <c r="N529"/>
  <c r="N530" s="1"/>
  <c r="N532" s="1"/>
  <c r="O529"/>
  <c r="O530" s="1"/>
  <c r="O532" s="1"/>
  <c r="P529"/>
  <c r="P530" s="1"/>
  <c r="P532" s="1"/>
  <c r="Q529"/>
  <c r="Q530" s="1"/>
  <c r="Q532" s="1"/>
  <c r="R529"/>
  <c r="R530" s="1"/>
  <c r="R532" s="1"/>
  <c r="S529"/>
  <c r="S530" s="1"/>
  <c r="S532" s="1"/>
  <c r="T529"/>
  <c r="T530" s="1"/>
  <c r="T532" s="1"/>
  <c r="U529"/>
  <c r="U530" s="1"/>
  <c r="U532" s="1"/>
  <c r="B529"/>
  <c r="B530" s="1"/>
  <c r="B532" s="1"/>
  <c r="C522"/>
  <c r="C523" s="1"/>
  <c r="C525" s="1"/>
  <c r="D522"/>
  <c r="D523" s="1"/>
  <c r="D525" s="1"/>
  <c r="E522"/>
  <c r="E523" s="1"/>
  <c r="E525" s="1"/>
  <c r="F522"/>
  <c r="F523" s="1"/>
  <c r="F525" s="1"/>
  <c r="G522"/>
  <c r="G523" s="1"/>
  <c r="G525" s="1"/>
  <c r="H522"/>
  <c r="H523" s="1"/>
  <c r="H525" s="1"/>
  <c r="I522"/>
  <c r="I523" s="1"/>
  <c r="I525" s="1"/>
  <c r="J522"/>
  <c r="J523" s="1"/>
  <c r="J525" s="1"/>
  <c r="K522"/>
  <c r="K523" s="1"/>
  <c r="K525" s="1"/>
  <c r="L522"/>
  <c r="L523" s="1"/>
  <c r="L525" s="1"/>
  <c r="M522"/>
  <c r="M523" s="1"/>
  <c r="M525" s="1"/>
  <c r="N522"/>
  <c r="N523" s="1"/>
  <c r="N525" s="1"/>
  <c r="O522"/>
  <c r="O523" s="1"/>
  <c r="O525" s="1"/>
  <c r="P522"/>
  <c r="P523" s="1"/>
  <c r="P525" s="1"/>
  <c r="Q522"/>
  <c r="Q523" s="1"/>
  <c r="Q525" s="1"/>
  <c r="R522"/>
  <c r="R523" s="1"/>
  <c r="R525" s="1"/>
  <c r="S522"/>
  <c r="S523" s="1"/>
  <c r="S525" s="1"/>
  <c r="T522"/>
  <c r="T523" s="1"/>
  <c r="T525" s="1"/>
  <c r="U522"/>
  <c r="U523" s="1"/>
  <c r="U525" s="1"/>
  <c r="B522"/>
  <c r="B523" s="1"/>
  <c r="B525" s="1"/>
  <c r="C508"/>
  <c r="C509" s="1"/>
  <c r="D508"/>
  <c r="D509" s="1"/>
  <c r="D511" s="1"/>
  <c r="E508"/>
  <c r="E509" s="1"/>
  <c r="E511" s="1"/>
  <c r="F508"/>
  <c r="F509" s="1"/>
  <c r="F511" s="1"/>
  <c r="G508"/>
  <c r="G509" s="1"/>
  <c r="G511" s="1"/>
  <c r="H508"/>
  <c r="H509" s="1"/>
  <c r="H511" s="1"/>
  <c r="I508"/>
  <c r="I509" s="1"/>
  <c r="I511" s="1"/>
  <c r="J508"/>
  <c r="J509" s="1"/>
  <c r="J511" s="1"/>
  <c r="K508"/>
  <c r="K509" s="1"/>
  <c r="K511" s="1"/>
  <c r="L508"/>
  <c r="L509" s="1"/>
  <c r="L511" s="1"/>
  <c r="M508"/>
  <c r="M509" s="1"/>
  <c r="M511" s="1"/>
  <c r="N508"/>
  <c r="N509" s="1"/>
  <c r="N511" s="1"/>
  <c r="O508"/>
  <c r="O509" s="1"/>
  <c r="O511" s="1"/>
  <c r="P508"/>
  <c r="P509" s="1"/>
  <c r="P511" s="1"/>
  <c r="Q508"/>
  <c r="Q509" s="1"/>
  <c r="Q511" s="1"/>
  <c r="R508"/>
  <c r="R509" s="1"/>
  <c r="R511" s="1"/>
  <c r="S508"/>
  <c r="S509" s="1"/>
  <c r="S511" s="1"/>
  <c r="T508"/>
  <c r="T509" s="1"/>
  <c r="T511" s="1"/>
  <c r="U508"/>
  <c r="U509" s="1"/>
  <c r="U511" s="1"/>
  <c r="B508"/>
  <c r="B509" s="1"/>
  <c r="B511" s="1"/>
  <c r="C487"/>
  <c r="C488" s="1"/>
  <c r="C490" s="1"/>
  <c r="D487"/>
  <c r="D488" s="1"/>
  <c r="D490" s="1"/>
  <c r="E487"/>
  <c r="E488" s="1"/>
  <c r="E490" s="1"/>
  <c r="F487"/>
  <c r="F488" s="1"/>
  <c r="F490" s="1"/>
  <c r="G487"/>
  <c r="G488" s="1"/>
  <c r="G490" s="1"/>
  <c r="H487"/>
  <c r="H488" s="1"/>
  <c r="H490" s="1"/>
  <c r="I487"/>
  <c r="I488" s="1"/>
  <c r="I490" s="1"/>
  <c r="J487"/>
  <c r="J488" s="1"/>
  <c r="J490" s="1"/>
  <c r="K487"/>
  <c r="K488" s="1"/>
  <c r="K490" s="1"/>
  <c r="L487"/>
  <c r="L488" s="1"/>
  <c r="L490" s="1"/>
  <c r="M487"/>
  <c r="M488" s="1"/>
  <c r="M490" s="1"/>
  <c r="N487"/>
  <c r="N488" s="1"/>
  <c r="N490" s="1"/>
  <c r="O487"/>
  <c r="O488" s="1"/>
  <c r="O490" s="1"/>
  <c r="P487"/>
  <c r="P488" s="1"/>
  <c r="P490" s="1"/>
  <c r="Q487"/>
  <c r="Q488" s="1"/>
  <c r="Q490" s="1"/>
  <c r="R487"/>
  <c r="R488" s="1"/>
  <c r="R490" s="1"/>
  <c r="S487"/>
  <c r="S488" s="1"/>
  <c r="S490" s="1"/>
  <c r="T487"/>
  <c r="T488" s="1"/>
  <c r="T490" s="1"/>
  <c r="U487"/>
  <c r="U488" s="1"/>
  <c r="U490" s="1"/>
  <c r="B487"/>
  <c r="C480"/>
  <c r="C481" s="1"/>
  <c r="C483" s="1"/>
  <c r="D480"/>
  <c r="D481" s="1"/>
  <c r="D483" s="1"/>
  <c r="E480"/>
  <c r="E481" s="1"/>
  <c r="E483" s="1"/>
  <c r="F480"/>
  <c r="F481" s="1"/>
  <c r="F483" s="1"/>
  <c r="G480"/>
  <c r="G481" s="1"/>
  <c r="G483" s="1"/>
  <c r="H480"/>
  <c r="H481" s="1"/>
  <c r="H483" s="1"/>
  <c r="I480"/>
  <c r="I481" s="1"/>
  <c r="I483" s="1"/>
  <c r="J480"/>
  <c r="J481" s="1"/>
  <c r="J483" s="1"/>
  <c r="K480"/>
  <c r="K481" s="1"/>
  <c r="K483" s="1"/>
  <c r="L480"/>
  <c r="L481" s="1"/>
  <c r="L483" s="1"/>
  <c r="M480"/>
  <c r="M481" s="1"/>
  <c r="M483" s="1"/>
  <c r="N480"/>
  <c r="N481" s="1"/>
  <c r="N483" s="1"/>
  <c r="O480"/>
  <c r="O481" s="1"/>
  <c r="O483" s="1"/>
  <c r="P480"/>
  <c r="P481" s="1"/>
  <c r="P483" s="1"/>
  <c r="Q480"/>
  <c r="Q481" s="1"/>
  <c r="Q483" s="1"/>
  <c r="R480"/>
  <c r="R481" s="1"/>
  <c r="R483" s="1"/>
  <c r="S480"/>
  <c r="S481" s="1"/>
  <c r="S483" s="1"/>
  <c r="T480"/>
  <c r="T481" s="1"/>
  <c r="T483" s="1"/>
  <c r="U480"/>
  <c r="U481" s="1"/>
  <c r="U483" s="1"/>
  <c r="B480"/>
  <c r="B481" s="1"/>
  <c r="B483" s="1"/>
  <c r="C445"/>
  <c r="C446" s="1"/>
  <c r="C448" s="1"/>
  <c r="D445"/>
  <c r="D446" s="1"/>
  <c r="D448" s="1"/>
  <c r="E445"/>
  <c r="E446" s="1"/>
  <c r="E448" s="1"/>
  <c r="F445"/>
  <c r="F446" s="1"/>
  <c r="F448" s="1"/>
  <c r="G445"/>
  <c r="G446" s="1"/>
  <c r="G448" s="1"/>
  <c r="H445"/>
  <c r="H446" s="1"/>
  <c r="H448" s="1"/>
  <c r="I445"/>
  <c r="I446" s="1"/>
  <c r="I448" s="1"/>
  <c r="J445"/>
  <c r="J446" s="1"/>
  <c r="J448" s="1"/>
  <c r="K445"/>
  <c r="K446" s="1"/>
  <c r="K448" s="1"/>
  <c r="L445"/>
  <c r="L446" s="1"/>
  <c r="L448" s="1"/>
  <c r="M445"/>
  <c r="M446" s="1"/>
  <c r="M448" s="1"/>
  <c r="N445"/>
  <c r="N446" s="1"/>
  <c r="N448" s="1"/>
  <c r="O445"/>
  <c r="O446" s="1"/>
  <c r="O448" s="1"/>
  <c r="P445"/>
  <c r="P446" s="1"/>
  <c r="P448" s="1"/>
  <c r="Q445"/>
  <c r="Q446" s="1"/>
  <c r="Q448" s="1"/>
  <c r="R445"/>
  <c r="R446" s="1"/>
  <c r="R448" s="1"/>
  <c r="S445"/>
  <c r="S446" s="1"/>
  <c r="S448" s="1"/>
  <c r="T445"/>
  <c r="T446" s="1"/>
  <c r="T448" s="1"/>
  <c r="U445"/>
  <c r="U446" s="1"/>
  <c r="U448" s="1"/>
  <c r="B445"/>
  <c r="B430"/>
  <c r="D430"/>
  <c r="E430"/>
  <c r="G430"/>
  <c r="H430"/>
  <c r="I430"/>
  <c r="J430"/>
  <c r="K430"/>
  <c r="L430"/>
  <c r="M430"/>
  <c r="N430"/>
  <c r="O430"/>
  <c r="P430"/>
  <c r="Q430"/>
  <c r="R430"/>
  <c r="S430"/>
  <c r="T430"/>
  <c r="U430"/>
  <c r="B437"/>
  <c r="B439" s="1"/>
  <c r="B441" s="1"/>
  <c r="C437"/>
  <c r="C439" s="1"/>
  <c r="C441" s="1"/>
  <c r="D437"/>
  <c r="D439" s="1"/>
  <c r="D441" s="1"/>
  <c r="F437"/>
  <c r="F439" s="1"/>
  <c r="F441" s="1"/>
  <c r="G437"/>
  <c r="G439" s="1"/>
  <c r="G441" s="1"/>
  <c r="H437"/>
  <c r="H439" s="1"/>
  <c r="H441" s="1"/>
  <c r="I437"/>
  <c r="I439" s="1"/>
  <c r="I441" s="1"/>
  <c r="K437"/>
  <c r="K439" s="1"/>
  <c r="K441" s="1"/>
  <c r="L437"/>
  <c r="L439" s="1"/>
  <c r="L441" s="1"/>
  <c r="M437"/>
  <c r="M439" s="1"/>
  <c r="M441" s="1"/>
  <c r="N437"/>
  <c r="N439" s="1"/>
  <c r="N441" s="1"/>
  <c r="P437"/>
  <c r="P439" s="1"/>
  <c r="P441" s="1"/>
  <c r="Q437"/>
  <c r="Q439" s="1"/>
  <c r="Q441" s="1"/>
  <c r="R437"/>
  <c r="R439" s="1"/>
  <c r="R441" s="1"/>
  <c r="S437"/>
  <c r="S439" s="1"/>
  <c r="S441" s="1"/>
  <c r="U437"/>
  <c r="U439" s="1"/>
  <c r="U441" s="1"/>
  <c r="V438"/>
  <c r="W438" s="1"/>
  <c r="V444"/>
  <c r="W444" s="1"/>
  <c r="V451"/>
  <c r="W451" s="1"/>
  <c r="V458"/>
  <c r="W458" s="1"/>
  <c r="V465"/>
  <c r="W465" s="1"/>
  <c r="B472"/>
  <c r="C472"/>
  <c r="D472"/>
  <c r="E472"/>
  <c r="F472"/>
  <c r="G472"/>
  <c r="H472"/>
  <c r="I472"/>
  <c r="J472"/>
  <c r="L472"/>
  <c r="M472"/>
  <c r="N472"/>
  <c r="O472"/>
  <c r="P472"/>
  <c r="Q472"/>
  <c r="R472"/>
  <c r="S472"/>
  <c r="T472"/>
  <c r="U472"/>
  <c r="V479"/>
  <c r="W479" s="1"/>
  <c r="V486"/>
  <c r="W486" s="1"/>
  <c r="V500"/>
  <c r="W500" s="1"/>
  <c r="V507"/>
  <c r="W507" s="1"/>
  <c r="V514"/>
  <c r="W514" s="1"/>
  <c r="V521"/>
  <c r="W521" s="1"/>
  <c r="V528"/>
  <c r="W528" s="1"/>
  <c r="V535"/>
  <c r="W535" s="1"/>
  <c r="V542"/>
  <c r="W542" s="1"/>
  <c r="K544"/>
  <c r="K546" s="1"/>
  <c r="C563"/>
  <c r="D563"/>
  <c r="F563"/>
  <c r="G563"/>
  <c r="I563"/>
  <c r="J563"/>
  <c r="L563"/>
  <c r="M563"/>
  <c r="O563"/>
  <c r="P563"/>
  <c r="R563"/>
  <c r="S563"/>
  <c r="U563"/>
  <c r="C570"/>
  <c r="D570"/>
  <c r="F570"/>
  <c r="G570"/>
  <c r="I570"/>
  <c r="J570"/>
  <c r="L570"/>
  <c r="M570"/>
  <c r="O570"/>
  <c r="P570"/>
  <c r="R570"/>
  <c r="S570"/>
  <c r="U570"/>
  <c r="V577"/>
  <c r="W577" s="1"/>
  <c r="V584"/>
  <c r="W584" s="1"/>
  <c r="S586"/>
  <c r="S588" s="1"/>
  <c r="V591"/>
  <c r="W591" s="1"/>
  <c r="E593"/>
  <c r="E595" s="1"/>
  <c r="V598"/>
  <c r="W598" s="1"/>
  <c r="V605"/>
  <c r="W605" s="1"/>
  <c r="V612"/>
  <c r="W612" s="1"/>
  <c r="V619"/>
  <c r="W619" s="1"/>
  <c r="V627"/>
  <c r="W627" s="1"/>
  <c r="V634"/>
  <c r="W634" s="1"/>
  <c r="C641"/>
  <c r="D641"/>
  <c r="F641"/>
  <c r="G641"/>
  <c r="I641"/>
  <c r="J641"/>
  <c r="L641"/>
  <c r="M641"/>
  <c r="O641"/>
  <c r="P641"/>
  <c r="R641"/>
  <c r="S641"/>
  <c r="U641"/>
  <c r="V642"/>
  <c r="W642" s="1"/>
  <c r="C643"/>
  <c r="C645" s="1"/>
  <c r="D643"/>
  <c r="F643"/>
  <c r="F645" s="1"/>
  <c r="G643"/>
  <c r="G645" s="1"/>
  <c r="I643"/>
  <c r="J643"/>
  <c r="L643"/>
  <c r="M643"/>
  <c r="O643"/>
  <c r="P643"/>
  <c r="P645" s="1"/>
  <c r="R643"/>
  <c r="R645" s="1"/>
  <c r="S643"/>
  <c r="S645" s="1"/>
  <c r="U643"/>
  <c r="U645" s="1"/>
  <c r="D645"/>
  <c r="I645"/>
  <c r="J645"/>
  <c r="L645"/>
  <c r="M645"/>
  <c r="O645"/>
  <c r="V648"/>
  <c r="W648" s="1"/>
  <c r="V655"/>
  <c r="W655" s="1"/>
  <c r="U662"/>
  <c r="V669"/>
  <c r="W669" s="1"/>
  <c r="V676"/>
  <c r="W676" s="1"/>
  <c r="V683"/>
  <c r="W683" s="1"/>
  <c r="V684"/>
  <c r="W684" s="1"/>
  <c r="B685"/>
  <c r="C685"/>
  <c r="D685"/>
  <c r="E685"/>
  <c r="F685"/>
  <c r="G685"/>
  <c r="H685"/>
  <c r="I685"/>
  <c r="J685"/>
  <c r="K685"/>
  <c r="L685"/>
  <c r="M685"/>
  <c r="N685"/>
  <c r="O685"/>
  <c r="P685"/>
  <c r="Q685"/>
  <c r="R685"/>
  <c r="S685"/>
  <c r="T685"/>
  <c r="U685"/>
  <c r="B687"/>
  <c r="C687"/>
  <c r="D687"/>
  <c r="E687"/>
  <c r="F687"/>
  <c r="G687"/>
  <c r="H687"/>
  <c r="I687"/>
  <c r="J687"/>
  <c r="K687"/>
  <c r="L687"/>
  <c r="M687"/>
  <c r="N687"/>
  <c r="O687"/>
  <c r="P687"/>
  <c r="Q687"/>
  <c r="R687"/>
  <c r="S687"/>
  <c r="T687"/>
  <c r="U687"/>
  <c r="V690"/>
  <c r="W690" s="1"/>
  <c r="V691"/>
  <c r="W691" s="1"/>
  <c r="B692"/>
  <c r="C692"/>
  <c r="D692"/>
  <c r="E692"/>
  <c r="F692"/>
  <c r="G692"/>
  <c r="H692"/>
  <c r="I692"/>
  <c r="J692"/>
  <c r="K692"/>
  <c r="L692"/>
  <c r="M692"/>
  <c r="N692"/>
  <c r="O692"/>
  <c r="P692"/>
  <c r="Q692"/>
  <c r="R692"/>
  <c r="S692"/>
  <c r="T692"/>
  <c r="U692"/>
  <c r="B694"/>
  <c r="C694"/>
  <c r="D694"/>
  <c r="E694"/>
  <c r="F694"/>
  <c r="G694"/>
  <c r="H694"/>
  <c r="I694"/>
  <c r="J694"/>
  <c r="K694"/>
  <c r="L694"/>
  <c r="M694"/>
  <c r="N694"/>
  <c r="O694"/>
  <c r="P694"/>
  <c r="Q694"/>
  <c r="R694"/>
  <c r="S694"/>
  <c r="T694"/>
  <c r="U694"/>
  <c r="V697"/>
  <c r="W697" s="1"/>
  <c r="V698"/>
  <c r="W698" s="1"/>
  <c r="B699"/>
  <c r="C699"/>
  <c r="D699"/>
  <c r="E699"/>
  <c r="F699"/>
  <c r="G699"/>
  <c r="H699"/>
  <c r="I699"/>
  <c r="J699"/>
  <c r="K699"/>
  <c r="L699"/>
  <c r="M699"/>
  <c r="N699"/>
  <c r="O699"/>
  <c r="P699"/>
  <c r="Q699"/>
  <c r="R699"/>
  <c r="S699"/>
  <c r="T699"/>
  <c r="U699"/>
  <c r="B701"/>
  <c r="C701"/>
  <c r="D701"/>
  <c r="E701"/>
  <c r="F701"/>
  <c r="G701"/>
  <c r="H701"/>
  <c r="I701"/>
  <c r="J701"/>
  <c r="K701"/>
  <c r="L701"/>
  <c r="M701"/>
  <c r="N701"/>
  <c r="O701"/>
  <c r="P701"/>
  <c r="Q701"/>
  <c r="R701"/>
  <c r="S701"/>
  <c r="T701"/>
  <c r="U701"/>
  <c r="V704"/>
  <c r="W704" s="1"/>
  <c r="V705"/>
  <c r="W705" s="1"/>
  <c r="B706"/>
  <c r="C706"/>
  <c r="D706"/>
  <c r="E706"/>
  <c r="F706"/>
  <c r="G706"/>
  <c r="H706"/>
  <c r="I706"/>
  <c r="J706"/>
  <c r="K706"/>
  <c r="L706"/>
  <c r="M706"/>
  <c r="N706"/>
  <c r="O706"/>
  <c r="P706"/>
  <c r="Q706"/>
  <c r="R706"/>
  <c r="S706"/>
  <c r="T706"/>
  <c r="U706"/>
  <c r="B708"/>
  <c r="C708"/>
  <c r="D708"/>
  <c r="E708"/>
  <c r="F708"/>
  <c r="G708"/>
  <c r="H708"/>
  <c r="I708"/>
  <c r="J708"/>
  <c r="K708"/>
  <c r="L708"/>
  <c r="M708"/>
  <c r="N708"/>
  <c r="O708"/>
  <c r="P708"/>
  <c r="Q708"/>
  <c r="R708"/>
  <c r="S708"/>
  <c r="T708"/>
  <c r="U708"/>
  <c r="V711"/>
  <c r="W711" s="1"/>
  <c r="V712"/>
  <c r="W712" s="1"/>
  <c r="B713"/>
  <c r="B715" s="1"/>
  <c r="C713"/>
  <c r="C715" s="1"/>
  <c r="D713"/>
  <c r="E713"/>
  <c r="E715" s="1"/>
  <c r="F713"/>
  <c r="F715" s="1"/>
  <c r="G713"/>
  <c r="G715" s="1"/>
  <c r="H713"/>
  <c r="H715" s="1"/>
  <c r="I713"/>
  <c r="I715" s="1"/>
  <c r="J713"/>
  <c r="J715" s="1"/>
  <c r="K713"/>
  <c r="K715" s="1"/>
  <c r="L713"/>
  <c r="L715" s="1"/>
  <c r="M713"/>
  <c r="M715" s="1"/>
  <c r="N713"/>
  <c r="N715" s="1"/>
  <c r="O713"/>
  <c r="O715" s="1"/>
  <c r="P713"/>
  <c r="P715" s="1"/>
  <c r="Q713"/>
  <c r="Q715" s="1"/>
  <c r="R713"/>
  <c r="R715" s="1"/>
  <c r="S713"/>
  <c r="S715" s="1"/>
  <c r="T713"/>
  <c r="T715" s="1"/>
  <c r="U713"/>
  <c r="U715" s="1"/>
  <c r="D715"/>
  <c r="U718"/>
  <c r="V719"/>
  <c r="W719" s="1"/>
  <c r="U720"/>
  <c r="U722" s="1"/>
  <c r="U725"/>
  <c r="V726"/>
  <c r="W726" s="1"/>
  <c r="U727"/>
  <c r="U729" s="1"/>
  <c r="V733"/>
  <c r="W733" s="1"/>
  <c r="V734"/>
  <c r="W734" s="1"/>
  <c r="B735"/>
  <c r="C735"/>
  <c r="D735"/>
  <c r="E735"/>
  <c r="F735"/>
  <c r="G735"/>
  <c r="G737" s="1"/>
  <c r="H735"/>
  <c r="H737" s="1"/>
  <c r="I735"/>
  <c r="I737" s="1"/>
  <c r="J735"/>
  <c r="J737" s="1"/>
  <c r="K735"/>
  <c r="K737" s="1"/>
  <c r="L735"/>
  <c r="L737" s="1"/>
  <c r="M735"/>
  <c r="M737" s="1"/>
  <c r="N735"/>
  <c r="N737" s="1"/>
  <c r="O735"/>
  <c r="O737" s="1"/>
  <c r="P735"/>
  <c r="P737" s="1"/>
  <c r="Q735"/>
  <c r="Q737" s="1"/>
  <c r="R735"/>
  <c r="R737" s="1"/>
  <c r="S735"/>
  <c r="S737" s="1"/>
  <c r="T735"/>
  <c r="T737" s="1"/>
  <c r="U735"/>
  <c r="U737" s="1"/>
  <c r="B737"/>
  <c r="C737"/>
  <c r="D737"/>
  <c r="E737"/>
  <c r="F737"/>
  <c r="V741"/>
  <c r="W741" s="1"/>
  <c r="V748"/>
  <c r="W748" s="1"/>
  <c r="C755"/>
  <c r="D755"/>
  <c r="F755"/>
  <c r="G755"/>
  <c r="I755"/>
  <c r="J755"/>
  <c r="L755"/>
  <c r="M755"/>
  <c r="O755"/>
  <c r="P755"/>
  <c r="R755"/>
  <c r="S755"/>
  <c r="U755"/>
  <c r="V762"/>
  <c r="W762" s="1"/>
  <c r="V763"/>
  <c r="W763" s="1"/>
  <c r="B764"/>
  <c r="C764"/>
  <c r="C766" s="1"/>
  <c r="D764"/>
  <c r="D766" s="1"/>
  <c r="E764"/>
  <c r="F764"/>
  <c r="F766" s="1"/>
  <c r="G764"/>
  <c r="G766" s="1"/>
  <c r="H764"/>
  <c r="H766" s="1"/>
  <c r="I764"/>
  <c r="I766" s="1"/>
  <c r="J764"/>
  <c r="J766" s="1"/>
  <c r="K764"/>
  <c r="K766" s="1"/>
  <c r="L764"/>
  <c r="L766" s="1"/>
  <c r="M764"/>
  <c r="M766" s="1"/>
  <c r="N764"/>
  <c r="N766" s="1"/>
  <c r="O764"/>
  <c r="O766" s="1"/>
  <c r="P764"/>
  <c r="P766" s="1"/>
  <c r="Q764"/>
  <c r="Q766" s="1"/>
  <c r="R764"/>
  <c r="R766" s="1"/>
  <c r="S764"/>
  <c r="S766" s="1"/>
  <c r="T764"/>
  <c r="T766" s="1"/>
  <c r="U764"/>
  <c r="U766" s="1"/>
  <c r="B766"/>
  <c r="E766"/>
  <c r="V769"/>
  <c r="W769" s="1"/>
  <c r="V770"/>
  <c r="W770" s="1"/>
  <c r="B771"/>
  <c r="C771"/>
  <c r="C773" s="1"/>
  <c r="D771"/>
  <c r="D773" s="1"/>
  <c r="E771"/>
  <c r="E773" s="1"/>
  <c r="F771"/>
  <c r="F773" s="1"/>
  <c r="G771"/>
  <c r="G773" s="1"/>
  <c r="H771"/>
  <c r="H773" s="1"/>
  <c r="I771"/>
  <c r="I773" s="1"/>
  <c r="J771"/>
  <c r="J773" s="1"/>
  <c r="K771"/>
  <c r="K773" s="1"/>
  <c r="L771"/>
  <c r="L773" s="1"/>
  <c r="M771"/>
  <c r="M773" s="1"/>
  <c r="N771"/>
  <c r="N773" s="1"/>
  <c r="O771"/>
  <c r="O773" s="1"/>
  <c r="P771"/>
  <c r="P773" s="1"/>
  <c r="Q771"/>
  <c r="Q773" s="1"/>
  <c r="R771"/>
  <c r="R773" s="1"/>
  <c r="S771"/>
  <c r="S773" s="1"/>
  <c r="T771"/>
  <c r="T773" s="1"/>
  <c r="U771"/>
  <c r="U773" s="1"/>
  <c r="B773"/>
  <c r="V776"/>
  <c r="W776" s="1"/>
  <c r="V777"/>
  <c r="W777" s="1"/>
  <c r="B778"/>
  <c r="C778"/>
  <c r="D778"/>
  <c r="E778"/>
  <c r="F778"/>
  <c r="G778"/>
  <c r="H778"/>
  <c r="I778"/>
  <c r="J778"/>
  <c r="K778"/>
  <c r="L778"/>
  <c r="M778"/>
  <c r="N778"/>
  <c r="O778"/>
  <c r="P778"/>
  <c r="Q778"/>
  <c r="R778"/>
  <c r="S778"/>
  <c r="T778"/>
  <c r="U778"/>
  <c r="B780"/>
  <c r="C780"/>
  <c r="D780"/>
  <c r="E780"/>
  <c r="F780"/>
  <c r="G780"/>
  <c r="H780"/>
  <c r="I780"/>
  <c r="J780"/>
  <c r="K780"/>
  <c r="L780"/>
  <c r="M780"/>
  <c r="N780"/>
  <c r="O780"/>
  <c r="P780"/>
  <c r="Q780"/>
  <c r="R780"/>
  <c r="S780"/>
  <c r="T780"/>
  <c r="U780"/>
  <c r="V783"/>
  <c r="W783" s="1"/>
  <c r="V784"/>
  <c r="W784" s="1"/>
  <c r="B785"/>
  <c r="C785"/>
  <c r="D785"/>
  <c r="E785"/>
  <c r="F785"/>
  <c r="G785"/>
  <c r="H785"/>
  <c r="I785"/>
  <c r="J785"/>
  <c r="K785"/>
  <c r="L785"/>
  <c r="M785"/>
  <c r="N785"/>
  <c r="N787" s="1"/>
  <c r="O785"/>
  <c r="O787" s="1"/>
  <c r="P785"/>
  <c r="P787" s="1"/>
  <c r="Q785"/>
  <c r="Q787" s="1"/>
  <c r="R785"/>
  <c r="R787" s="1"/>
  <c r="S785"/>
  <c r="S787" s="1"/>
  <c r="T785"/>
  <c r="T787" s="1"/>
  <c r="U785"/>
  <c r="U787" s="1"/>
  <c r="B787"/>
  <c r="C787"/>
  <c r="D787"/>
  <c r="E787"/>
  <c r="F787"/>
  <c r="G787"/>
  <c r="H787"/>
  <c r="I787"/>
  <c r="J787"/>
  <c r="K787"/>
  <c r="L787"/>
  <c r="M787"/>
  <c r="V790"/>
  <c r="W790" s="1"/>
  <c r="V791"/>
  <c r="W791" s="1"/>
  <c r="B792"/>
  <c r="C792"/>
  <c r="D792"/>
  <c r="E792"/>
  <c r="F792"/>
  <c r="G792"/>
  <c r="H792"/>
  <c r="I792"/>
  <c r="J792"/>
  <c r="K792"/>
  <c r="L792"/>
  <c r="M792"/>
  <c r="N792"/>
  <c r="O792"/>
  <c r="P792"/>
  <c r="Q792"/>
  <c r="R792"/>
  <c r="S792"/>
  <c r="T792"/>
  <c r="U792"/>
  <c r="B794"/>
  <c r="C794"/>
  <c r="D794"/>
  <c r="E794"/>
  <c r="F794"/>
  <c r="G794"/>
  <c r="H794"/>
  <c r="I794"/>
  <c r="J794"/>
  <c r="K794"/>
  <c r="L794"/>
  <c r="M794"/>
  <c r="N794"/>
  <c r="O794"/>
  <c r="P794"/>
  <c r="Q794"/>
  <c r="R794"/>
  <c r="S794"/>
  <c r="T794"/>
  <c r="U794"/>
  <c r="V797"/>
  <c r="W797" s="1"/>
  <c r="V798"/>
  <c r="W798" s="1"/>
  <c r="B799"/>
  <c r="B801" s="1"/>
  <c r="C799"/>
  <c r="C801" s="1"/>
  <c r="D799"/>
  <c r="D801" s="1"/>
  <c r="E799"/>
  <c r="E801" s="1"/>
  <c r="F799"/>
  <c r="F801" s="1"/>
  <c r="G799"/>
  <c r="G801" s="1"/>
  <c r="H799"/>
  <c r="H801" s="1"/>
  <c r="I799"/>
  <c r="I801" s="1"/>
  <c r="J799"/>
  <c r="J801" s="1"/>
  <c r="K799"/>
  <c r="K801" s="1"/>
  <c r="L799"/>
  <c r="L801" s="1"/>
  <c r="M799"/>
  <c r="M801" s="1"/>
  <c r="N799"/>
  <c r="N801" s="1"/>
  <c r="O799"/>
  <c r="O801" s="1"/>
  <c r="P799"/>
  <c r="P801" s="1"/>
  <c r="Q799"/>
  <c r="Q801" s="1"/>
  <c r="R799"/>
  <c r="R801" s="1"/>
  <c r="S799"/>
  <c r="S801" s="1"/>
  <c r="T799"/>
  <c r="T801" s="1"/>
  <c r="U799"/>
  <c r="U801" s="1"/>
  <c r="V804"/>
  <c r="W804" s="1"/>
  <c r="V805"/>
  <c r="W805" s="1"/>
  <c r="B806"/>
  <c r="C806"/>
  <c r="C808" s="1"/>
  <c r="D806"/>
  <c r="D808" s="1"/>
  <c r="E806"/>
  <c r="F806"/>
  <c r="F808" s="1"/>
  <c r="G806"/>
  <c r="G808" s="1"/>
  <c r="H806"/>
  <c r="H808" s="1"/>
  <c r="I806"/>
  <c r="I808" s="1"/>
  <c r="J806"/>
  <c r="J808" s="1"/>
  <c r="K806"/>
  <c r="K808" s="1"/>
  <c r="L806"/>
  <c r="L808" s="1"/>
  <c r="M806"/>
  <c r="M808" s="1"/>
  <c r="N806"/>
  <c r="N808" s="1"/>
  <c r="O806"/>
  <c r="O808" s="1"/>
  <c r="P806"/>
  <c r="P808" s="1"/>
  <c r="Q806"/>
  <c r="Q808" s="1"/>
  <c r="R806"/>
  <c r="R808" s="1"/>
  <c r="S806"/>
  <c r="S808" s="1"/>
  <c r="T806"/>
  <c r="T808" s="1"/>
  <c r="U806"/>
  <c r="U808" s="1"/>
  <c r="B808"/>
  <c r="E808"/>
  <c r="V811"/>
  <c r="W811" s="1"/>
  <c r="V818"/>
  <c r="W818" s="1"/>
  <c r="V819"/>
  <c r="W819" s="1"/>
  <c r="B820"/>
  <c r="C820"/>
  <c r="D820"/>
  <c r="E820"/>
  <c r="F820"/>
  <c r="F822" s="1"/>
  <c r="G820"/>
  <c r="G822" s="1"/>
  <c r="H820"/>
  <c r="I820"/>
  <c r="I822" s="1"/>
  <c r="J820"/>
  <c r="J822" s="1"/>
  <c r="K820"/>
  <c r="K822" s="1"/>
  <c r="L820"/>
  <c r="L822" s="1"/>
  <c r="M820"/>
  <c r="M822" s="1"/>
  <c r="N820"/>
  <c r="N822" s="1"/>
  <c r="O820"/>
  <c r="O822" s="1"/>
  <c r="P820"/>
  <c r="P822" s="1"/>
  <c r="Q820"/>
  <c r="Q822" s="1"/>
  <c r="R820"/>
  <c r="R822" s="1"/>
  <c r="S820"/>
  <c r="S822" s="1"/>
  <c r="T820"/>
  <c r="T822" s="1"/>
  <c r="U820"/>
  <c r="U822" s="1"/>
  <c r="B822"/>
  <c r="C822"/>
  <c r="D822"/>
  <c r="E822"/>
  <c r="H822"/>
  <c r="C827"/>
  <c r="D827"/>
  <c r="F827"/>
  <c r="G827"/>
  <c r="I827"/>
  <c r="J827"/>
  <c r="L827"/>
  <c r="M827"/>
  <c r="O827"/>
  <c r="P827"/>
  <c r="R827"/>
  <c r="S827"/>
  <c r="U827"/>
  <c r="C834"/>
  <c r="D834"/>
  <c r="F834"/>
  <c r="G834"/>
  <c r="I834"/>
  <c r="J834"/>
  <c r="L834"/>
  <c r="M834"/>
  <c r="O834"/>
  <c r="P834"/>
  <c r="R834"/>
  <c r="S834"/>
  <c r="U834"/>
  <c r="C841"/>
  <c r="C843" s="1"/>
  <c r="C845" s="1"/>
  <c r="D841"/>
  <c r="D843" s="1"/>
  <c r="D845" s="1"/>
  <c r="F841"/>
  <c r="F843" s="1"/>
  <c r="F845" s="1"/>
  <c r="G841"/>
  <c r="G843" s="1"/>
  <c r="G845" s="1"/>
  <c r="I841"/>
  <c r="I843" s="1"/>
  <c r="I845" s="1"/>
  <c r="J841"/>
  <c r="L841"/>
  <c r="L843" s="1"/>
  <c r="L845" s="1"/>
  <c r="M841"/>
  <c r="O841"/>
  <c r="O843" s="1"/>
  <c r="O845" s="1"/>
  <c r="P841"/>
  <c r="P843" s="1"/>
  <c r="P845" s="1"/>
  <c r="R841"/>
  <c r="R843" s="1"/>
  <c r="R845" s="1"/>
  <c r="S841"/>
  <c r="S843" s="1"/>
  <c r="S845" s="1"/>
  <c r="U841"/>
  <c r="U843" s="1"/>
  <c r="U845" s="1"/>
  <c r="J843"/>
  <c r="J845" s="1"/>
  <c r="V842"/>
  <c r="W842" s="1"/>
  <c r="M843"/>
  <c r="M845" s="1"/>
  <c r="C848"/>
  <c r="C850" s="1"/>
  <c r="C852" s="1"/>
  <c r="D848"/>
  <c r="F848"/>
  <c r="G848"/>
  <c r="G850" s="1"/>
  <c r="G852" s="1"/>
  <c r="I848"/>
  <c r="I850" s="1"/>
  <c r="I852" s="1"/>
  <c r="J848"/>
  <c r="L848"/>
  <c r="L850" s="1"/>
  <c r="L852" s="1"/>
  <c r="M848"/>
  <c r="O848"/>
  <c r="O850" s="1"/>
  <c r="O852" s="1"/>
  <c r="P848"/>
  <c r="P850" s="1"/>
  <c r="P852" s="1"/>
  <c r="R848"/>
  <c r="R850" s="1"/>
  <c r="R852" s="1"/>
  <c r="S848"/>
  <c r="S850" s="1"/>
  <c r="S852" s="1"/>
  <c r="U848"/>
  <c r="U850" s="1"/>
  <c r="U852" s="1"/>
  <c r="D850"/>
  <c r="D852" s="1"/>
  <c r="F850"/>
  <c r="F852" s="1"/>
  <c r="J850"/>
  <c r="J852" s="1"/>
  <c r="V849"/>
  <c r="W849" s="1"/>
  <c r="M850"/>
  <c r="M852" s="1"/>
  <c r="C855"/>
  <c r="D855"/>
  <c r="F855"/>
  <c r="G855"/>
  <c r="I855"/>
  <c r="J855"/>
  <c r="L855"/>
  <c r="M855"/>
  <c r="O855"/>
  <c r="P855"/>
  <c r="R855"/>
  <c r="S855"/>
  <c r="U855"/>
  <c r="V862"/>
  <c r="W862" s="1"/>
  <c r="V863"/>
  <c r="W863" s="1"/>
  <c r="B864"/>
  <c r="C864"/>
  <c r="D864"/>
  <c r="E864"/>
  <c r="F864"/>
  <c r="G864"/>
  <c r="H864"/>
  <c r="I864"/>
  <c r="J864"/>
  <c r="K864"/>
  <c r="L864"/>
  <c r="M864"/>
  <c r="M866" s="1"/>
  <c r="N864"/>
  <c r="N866" s="1"/>
  <c r="O864"/>
  <c r="O866" s="1"/>
  <c r="P864"/>
  <c r="P866" s="1"/>
  <c r="Q864"/>
  <c r="Q866" s="1"/>
  <c r="R864"/>
  <c r="R866" s="1"/>
  <c r="S864"/>
  <c r="S866" s="1"/>
  <c r="T864"/>
  <c r="T866" s="1"/>
  <c r="U864"/>
  <c r="U866" s="1"/>
  <c r="B866"/>
  <c r="C866"/>
  <c r="D866"/>
  <c r="E866"/>
  <c r="F866"/>
  <c r="G866"/>
  <c r="H866"/>
  <c r="I866"/>
  <c r="J866"/>
  <c r="K866"/>
  <c r="L866"/>
  <c r="C869"/>
  <c r="D869"/>
  <c r="F869"/>
  <c r="G869"/>
  <c r="I869"/>
  <c r="J869"/>
  <c r="L869"/>
  <c r="M869"/>
  <c r="O869"/>
  <c r="P869"/>
  <c r="R869"/>
  <c r="S869"/>
  <c r="U869"/>
  <c r="C876"/>
  <c r="C878" s="1"/>
  <c r="C880" s="1"/>
  <c r="D876"/>
  <c r="D878" s="1"/>
  <c r="D880" s="1"/>
  <c r="F876"/>
  <c r="F878" s="1"/>
  <c r="F880" s="1"/>
  <c r="G876"/>
  <c r="I876"/>
  <c r="J876"/>
  <c r="J878" s="1"/>
  <c r="J880" s="1"/>
  <c r="L876"/>
  <c r="L878" s="1"/>
  <c r="L880" s="1"/>
  <c r="M876"/>
  <c r="O876"/>
  <c r="P876"/>
  <c r="P878" s="1"/>
  <c r="P880" s="1"/>
  <c r="R876"/>
  <c r="R878" s="1"/>
  <c r="R880" s="1"/>
  <c r="S876"/>
  <c r="U876"/>
  <c r="G878"/>
  <c r="G880" s="1"/>
  <c r="I878"/>
  <c r="I880" s="1"/>
  <c r="M878"/>
  <c r="M880" s="1"/>
  <c r="O878"/>
  <c r="O880" s="1"/>
  <c r="S878"/>
  <c r="S880" s="1"/>
  <c r="U878"/>
  <c r="U880" s="1"/>
  <c r="V877"/>
  <c r="W877" s="1"/>
  <c r="C883"/>
  <c r="D883"/>
  <c r="F883"/>
  <c r="G883"/>
  <c r="I883"/>
  <c r="J883"/>
  <c r="L883"/>
  <c r="M883"/>
  <c r="O883"/>
  <c r="P883"/>
  <c r="R883"/>
  <c r="S883"/>
  <c r="U883"/>
  <c r="C890"/>
  <c r="D890"/>
  <c r="F890"/>
  <c r="G890"/>
  <c r="I890"/>
  <c r="J890"/>
  <c r="L890"/>
  <c r="M890"/>
  <c r="O890"/>
  <c r="P890"/>
  <c r="R890"/>
  <c r="S890"/>
  <c r="U890"/>
  <c r="C897"/>
  <c r="D897"/>
  <c r="F897"/>
  <c r="G897"/>
  <c r="I897"/>
  <c r="J897"/>
  <c r="L897"/>
  <c r="M897"/>
  <c r="O897"/>
  <c r="P897"/>
  <c r="R897"/>
  <c r="S897"/>
  <c r="U897"/>
  <c r="V904"/>
  <c r="W904" s="1"/>
  <c r="V905"/>
  <c r="W905" s="1"/>
  <c r="B906"/>
  <c r="B908" s="1"/>
  <c r="C906"/>
  <c r="C908" s="1"/>
  <c r="D906"/>
  <c r="E906"/>
  <c r="E908" s="1"/>
  <c r="F906"/>
  <c r="F908" s="1"/>
  <c r="G906"/>
  <c r="G908" s="1"/>
  <c r="H906"/>
  <c r="H908" s="1"/>
  <c r="I906"/>
  <c r="I908" s="1"/>
  <c r="J906"/>
  <c r="J908" s="1"/>
  <c r="K906"/>
  <c r="K908" s="1"/>
  <c r="L906"/>
  <c r="L908" s="1"/>
  <c r="M906"/>
  <c r="M908" s="1"/>
  <c r="N906"/>
  <c r="N908" s="1"/>
  <c r="O906"/>
  <c r="O908" s="1"/>
  <c r="P906"/>
  <c r="P908" s="1"/>
  <c r="Q906"/>
  <c r="Q908" s="1"/>
  <c r="R906"/>
  <c r="R908" s="1"/>
  <c r="S906"/>
  <c r="S908" s="1"/>
  <c r="T906"/>
  <c r="T908" s="1"/>
  <c r="U906"/>
  <c r="U908" s="1"/>
  <c r="D908"/>
  <c r="V911"/>
  <c r="W911" s="1"/>
  <c r="B913"/>
  <c r="D913"/>
  <c r="D915" s="1"/>
  <c r="F913"/>
  <c r="F915" s="1"/>
  <c r="H913"/>
  <c r="H915" s="1"/>
  <c r="J913"/>
  <c r="J915" s="1"/>
  <c r="L913"/>
  <c r="L915" s="1"/>
  <c r="N913"/>
  <c r="N915" s="1"/>
  <c r="P913"/>
  <c r="P915" s="1"/>
  <c r="R913"/>
  <c r="R915" s="1"/>
  <c r="T913"/>
  <c r="T915" s="1"/>
  <c r="V912"/>
  <c r="W912" s="1"/>
  <c r="C913"/>
  <c r="C915" s="1"/>
  <c r="E913"/>
  <c r="E915" s="1"/>
  <c r="G913"/>
  <c r="G915" s="1"/>
  <c r="I913"/>
  <c r="I915" s="1"/>
  <c r="K913"/>
  <c r="K915" s="1"/>
  <c r="M913"/>
  <c r="M915" s="1"/>
  <c r="O913"/>
  <c r="O915" s="1"/>
  <c r="Q913"/>
  <c r="Q915" s="1"/>
  <c r="S913"/>
  <c r="S915" s="1"/>
  <c r="U913"/>
  <c r="U915" s="1"/>
  <c r="C918"/>
  <c r="D918"/>
  <c r="F918"/>
  <c r="G918"/>
  <c r="I918"/>
  <c r="J918"/>
  <c r="L918"/>
  <c r="M918"/>
  <c r="O918"/>
  <c r="P918"/>
  <c r="R918"/>
  <c r="S918"/>
  <c r="U918"/>
  <c r="V925"/>
  <c r="W925" s="1"/>
  <c r="B927"/>
  <c r="D927"/>
  <c r="D929" s="1"/>
  <c r="F927"/>
  <c r="F929" s="1"/>
  <c r="H927"/>
  <c r="H929" s="1"/>
  <c r="J927"/>
  <c r="J929" s="1"/>
  <c r="L927"/>
  <c r="L929" s="1"/>
  <c r="N927"/>
  <c r="N929" s="1"/>
  <c r="P927"/>
  <c r="P929" s="1"/>
  <c r="R927"/>
  <c r="R929" s="1"/>
  <c r="T927"/>
  <c r="T929" s="1"/>
  <c r="V926"/>
  <c r="W926" s="1"/>
  <c r="C927"/>
  <c r="C929" s="1"/>
  <c r="E927"/>
  <c r="E929" s="1"/>
  <c r="G927"/>
  <c r="G929" s="1"/>
  <c r="I927"/>
  <c r="I929" s="1"/>
  <c r="K927"/>
  <c r="K929" s="1"/>
  <c r="M927"/>
  <c r="M929" s="1"/>
  <c r="O927"/>
  <c r="O929" s="1"/>
  <c r="Q927"/>
  <c r="Q929" s="1"/>
  <c r="S927"/>
  <c r="S929" s="1"/>
  <c r="U927"/>
  <c r="U929" s="1"/>
  <c r="C932"/>
  <c r="D932"/>
  <c r="F932"/>
  <c r="G932"/>
  <c r="I932"/>
  <c r="J932"/>
  <c r="L932"/>
  <c r="M932"/>
  <c r="O932"/>
  <c r="P932"/>
  <c r="R932"/>
  <c r="S932"/>
  <c r="U932"/>
  <c r="C939"/>
  <c r="D939"/>
  <c r="F939"/>
  <c r="G939"/>
  <c r="I939"/>
  <c r="J939"/>
  <c r="L939"/>
  <c r="M939"/>
  <c r="O939"/>
  <c r="P939"/>
  <c r="R939"/>
  <c r="S939"/>
  <c r="U939"/>
  <c r="C946"/>
  <c r="D946"/>
  <c r="F946"/>
  <c r="G946"/>
  <c r="I946"/>
  <c r="J946"/>
  <c r="L946"/>
  <c r="M946"/>
  <c r="O946"/>
  <c r="P946"/>
  <c r="R946"/>
  <c r="S946"/>
  <c r="U946"/>
  <c r="V953"/>
  <c r="W953" s="1"/>
  <c r="B955"/>
  <c r="D955"/>
  <c r="D957" s="1"/>
  <c r="F955"/>
  <c r="F957" s="1"/>
  <c r="H955"/>
  <c r="H957" s="1"/>
  <c r="J955"/>
  <c r="J957" s="1"/>
  <c r="L955"/>
  <c r="L957" s="1"/>
  <c r="N955"/>
  <c r="N957" s="1"/>
  <c r="P955"/>
  <c r="P957" s="1"/>
  <c r="R955"/>
  <c r="R957" s="1"/>
  <c r="T955"/>
  <c r="T957" s="1"/>
  <c r="V954"/>
  <c r="W954" s="1"/>
  <c r="C955"/>
  <c r="C957" s="1"/>
  <c r="E955"/>
  <c r="E957" s="1"/>
  <c r="G955"/>
  <c r="G957" s="1"/>
  <c r="I955"/>
  <c r="I957" s="1"/>
  <c r="K955"/>
  <c r="K957" s="1"/>
  <c r="M955"/>
  <c r="M957" s="1"/>
  <c r="O955"/>
  <c r="O957" s="1"/>
  <c r="Q955"/>
  <c r="Q957" s="1"/>
  <c r="S955"/>
  <c r="S957" s="1"/>
  <c r="U955"/>
  <c r="U957" s="1"/>
  <c r="C960"/>
  <c r="D960"/>
  <c r="F960"/>
  <c r="G960"/>
  <c r="I960"/>
  <c r="J960"/>
  <c r="L960"/>
  <c r="M960"/>
  <c r="O960"/>
  <c r="P960"/>
  <c r="R960"/>
  <c r="S960"/>
  <c r="U960"/>
  <c r="C967"/>
  <c r="C969" s="1"/>
  <c r="C971" s="1"/>
  <c r="D967"/>
  <c r="F967"/>
  <c r="F969" s="1"/>
  <c r="F971" s="1"/>
  <c r="G967"/>
  <c r="G969" s="1"/>
  <c r="G971" s="1"/>
  <c r="I967"/>
  <c r="J967"/>
  <c r="L967"/>
  <c r="L969" s="1"/>
  <c r="L971" s="1"/>
  <c r="M967"/>
  <c r="M969" s="1"/>
  <c r="M971" s="1"/>
  <c r="O967"/>
  <c r="O969" s="1"/>
  <c r="O971" s="1"/>
  <c r="P967"/>
  <c r="P969" s="1"/>
  <c r="P971" s="1"/>
  <c r="R967"/>
  <c r="R969" s="1"/>
  <c r="R971" s="1"/>
  <c r="S967"/>
  <c r="U967"/>
  <c r="U969" s="1"/>
  <c r="U971" s="1"/>
  <c r="D969"/>
  <c r="D971" s="1"/>
  <c r="I969"/>
  <c r="I971" s="1"/>
  <c r="J969"/>
  <c r="J971" s="1"/>
  <c r="V968"/>
  <c r="W968" s="1"/>
  <c r="S969"/>
  <c r="S971" s="1"/>
  <c r="V974"/>
  <c r="W974" s="1"/>
  <c r="B976"/>
  <c r="C976"/>
  <c r="C978" s="1"/>
  <c r="E976"/>
  <c r="E978" s="1"/>
  <c r="F976"/>
  <c r="F978" s="1"/>
  <c r="G976"/>
  <c r="G978" s="1"/>
  <c r="I976"/>
  <c r="I978" s="1"/>
  <c r="J976"/>
  <c r="J978" s="1"/>
  <c r="K976"/>
  <c r="K978" s="1"/>
  <c r="M976"/>
  <c r="M978" s="1"/>
  <c r="N976"/>
  <c r="N978" s="1"/>
  <c r="O976"/>
  <c r="O978" s="1"/>
  <c r="Q976"/>
  <c r="Q978" s="1"/>
  <c r="R976"/>
  <c r="R978" s="1"/>
  <c r="S976"/>
  <c r="S978" s="1"/>
  <c r="U976"/>
  <c r="U978" s="1"/>
  <c r="V975"/>
  <c r="W975" s="1"/>
  <c r="D976"/>
  <c r="D978" s="1"/>
  <c r="H976"/>
  <c r="H978" s="1"/>
  <c r="L976"/>
  <c r="L978" s="1"/>
  <c r="P976"/>
  <c r="P978" s="1"/>
  <c r="T976"/>
  <c r="T978" s="1"/>
  <c r="V981"/>
  <c r="W981" s="1"/>
  <c r="B983"/>
  <c r="D983"/>
  <c r="D985" s="1"/>
  <c r="E983"/>
  <c r="E985" s="1"/>
  <c r="F983"/>
  <c r="F985" s="1"/>
  <c r="G983"/>
  <c r="G985" s="1"/>
  <c r="H983"/>
  <c r="H985" s="1"/>
  <c r="I983"/>
  <c r="I985" s="1"/>
  <c r="J983"/>
  <c r="J985" s="1"/>
  <c r="L983"/>
  <c r="L985" s="1"/>
  <c r="M983"/>
  <c r="M985" s="1"/>
  <c r="N983"/>
  <c r="N985" s="1"/>
  <c r="O983"/>
  <c r="O985" s="1"/>
  <c r="P983"/>
  <c r="P985" s="1"/>
  <c r="Q983"/>
  <c r="Q985" s="1"/>
  <c r="R983"/>
  <c r="R985" s="1"/>
  <c r="T983"/>
  <c r="T985" s="1"/>
  <c r="U983"/>
  <c r="U985" s="1"/>
  <c r="V982"/>
  <c r="W982" s="1"/>
  <c r="C983"/>
  <c r="C985" s="1"/>
  <c r="K983"/>
  <c r="K985" s="1"/>
  <c r="S983"/>
  <c r="S985" s="1"/>
  <c r="C988"/>
  <c r="D988"/>
  <c r="F988"/>
  <c r="G988"/>
  <c r="I988"/>
  <c r="J988"/>
  <c r="L988"/>
  <c r="M988"/>
  <c r="O988"/>
  <c r="P988"/>
  <c r="R988"/>
  <c r="S988"/>
  <c r="U988"/>
  <c r="V995"/>
  <c r="W995" s="1"/>
  <c r="B997"/>
  <c r="D997"/>
  <c r="D999" s="1"/>
  <c r="E997"/>
  <c r="E999" s="1"/>
  <c r="F997"/>
  <c r="F999" s="1"/>
  <c r="H997"/>
  <c r="H999" s="1"/>
  <c r="I997"/>
  <c r="I999" s="1"/>
  <c r="J997"/>
  <c r="J999" s="1"/>
  <c r="L997"/>
  <c r="L999" s="1"/>
  <c r="M997"/>
  <c r="M999" s="1"/>
  <c r="N997"/>
  <c r="N999" s="1"/>
  <c r="P997"/>
  <c r="P999" s="1"/>
  <c r="Q997"/>
  <c r="Q999" s="1"/>
  <c r="R997"/>
  <c r="R999" s="1"/>
  <c r="T997"/>
  <c r="T999" s="1"/>
  <c r="U997"/>
  <c r="U999" s="1"/>
  <c r="V996"/>
  <c r="W996" s="1"/>
  <c r="C997"/>
  <c r="C999" s="1"/>
  <c r="G997"/>
  <c r="G999" s="1"/>
  <c r="K997"/>
  <c r="K999" s="1"/>
  <c r="O997"/>
  <c r="O999" s="1"/>
  <c r="S997"/>
  <c r="S999" s="1"/>
  <c r="V1002"/>
  <c r="W1002" s="1"/>
  <c r="B1004"/>
  <c r="D1004"/>
  <c r="D1006" s="1"/>
  <c r="E1004"/>
  <c r="E1006" s="1"/>
  <c r="F1004"/>
  <c r="F1006" s="1"/>
  <c r="G1004"/>
  <c r="G1006" s="1"/>
  <c r="H1004"/>
  <c r="H1006" s="1"/>
  <c r="I1004"/>
  <c r="I1006" s="1"/>
  <c r="J1004"/>
  <c r="J1006" s="1"/>
  <c r="L1004"/>
  <c r="L1006" s="1"/>
  <c r="M1004"/>
  <c r="M1006" s="1"/>
  <c r="N1004"/>
  <c r="N1006" s="1"/>
  <c r="O1004"/>
  <c r="O1006" s="1"/>
  <c r="P1004"/>
  <c r="P1006" s="1"/>
  <c r="Q1004"/>
  <c r="Q1006" s="1"/>
  <c r="R1004"/>
  <c r="R1006" s="1"/>
  <c r="T1004"/>
  <c r="T1006" s="1"/>
  <c r="U1004"/>
  <c r="U1006" s="1"/>
  <c r="V1003"/>
  <c r="W1003" s="1"/>
  <c r="C1004"/>
  <c r="C1006" s="1"/>
  <c r="K1004"/>
  <c r="K1006" s="1"/>
  <c r="S1004"/>
  <c r="S1006" s="1"/>
  <c r="V1009"/>
  <c r="W1009" s="1"/>
  <c r="V1016"/>
  <c r="W1016" s="1"/>
  <c r="C1023"/>
  <c r="D1023"/>
  <c r="F1023"/>
  <c r="G1023"/>
  <c r="I1023"/>
  <c r="J1023"/>
  <c r="L1023"/>
  <c r="M1023"/>
  <c r="O1023"/>
  <c r="P1023"/>
  <c r="R1023"/>
  <c r="S1023"/>
  <c r="U1023"/>
  <c r="V253" l="1"/>
  <c r="W253" s="1"/>
  <c r="B8" i="15"/>
  <c r="V599" i="13"/>
  <c r="W599" s="1"/>
  <c r="V592"/>
  <c r="W592" s="1"/>
  <c r="V585"/>
  <c r="W585" s="1"/>
  <c r="V543"/>
  <c r="W543" s="1"/>
  <c r="V529"/>
  <c r="W529" s="1"/>
  <c r="V550"/>
  <c r="W550" s="1"/>
  <c r="V522"/>
  <c r="W522" s="1"/>
  <c r="V445"/>
  <c r="W445" s="1"/>
  <c r="V480"/>
  <c r="W480" s="1"/>
  <c r="V487"/>
  <c r="W487" s="1"/>
  <c r="V508"/>
  <c r="W508" s="1"/>
  <c r="B488"/>
  <c r="B490" s="1"/>
  <c r="V490" s="1"/>
  <c r="B446"/>
  <c r="B448" s="1"/>
  <c r="V448" s="1"/>
  <c r="V602"/>
  <c r="V685"/>
  <c r="W685" s="1"/>
  <c r="V713"/>
  <c r="W713" s="1"/>
  <c r="V701"/>
  <c r="V483"/>
  <c r="V866"/>
  <c r="V864"/>
  <c r="W864" s="1"/>
  <c r="V588"/>
  <c r="V706"/>
  <c r="W706" s="1"/>
  <c r="V687"/>
  <c r="V544"/>
  <c r="W544" s="1"/>
  <c r="V595"/>
  <c r="V766"/>
  <c r="V808"/>
  <c r="V780"/>
  <c r="V822"/>
  <c r="V820"/>
  <c r="W820" s="1"/>
  <c r="V794"/>
  <c r="V792"/>
  <c r="W792" s="1"/>
  <c r="V787"/>
  <c r="V525"/>
  <c r="V773"/>
  <c r="V737"/>
  <c r="V735"/>
  <c r="W735" s="1"/>
  <c r="V708"/>
  <c r="V546"/>
  <c r="V778"/>
  <c r="W778" s="1"/>
  <c r="V764"/>
  <c r="W764" s="1"/>
  <c r="V699"/>
  <c r="W699" s="1"/>
  <c r="V593"/>
  <c r="W593" s="1"/>
  <c r="V586"/>
  <c r="W586" s="1"/>
  <c r="V553"/>
  <c r="V551"/>
  <c r="W551" s="1"/>
  <c r="V523"/>
  <c r="W523" s="1"/>
  <c r="V806"/>
  <c r="W806" s="1"/>
  <c r="V801"/>
  <c r="V799"/>
  <c r="W799" s="1"/>
  <c r="V785"/>
  <c r="W785" s="1"/>
  <c r="V715"/>
  <c r="V694"/>
  <c r="V692"/>
  <c r="W692" s="1"/>
  <c r="V600"/>
  <c r="W600" s="1"/>
  <c r="V532"/>
  <c r="V530"/>
  <c r="W530" s="1"/>
  <c r="V481"/>
  <c r="W481" s="1"/>
  <c r="V446"/>
  <c r="W446" s="1"/>
  <c r="V906"/>
  <c r="W906" s="1"/>
  <c r="V908"/>
  <c r="V771"/>
  <c r="W771" s="1"/>
  <c r="V509"/>
  <c r="W509" s="1"/>
  <c r="C511"/>
  <c r="V511" s="1"/>
  <c r="V1004"/>
  <c r="W1004" s="1"/>
  <c r="B1006"/>
  <c r="V1006" s="1"/>
  <c r="B978"/>
  <c r="V978" s="1"/>
  <c r="V976"/>
  <c r="W976" s="1"/>
  <c r="V983"/>
  <c r="W983" s="1"/>
  <c r="B985"/>
  <c r="V985" s="1"/>
  <c r="B957"/>
  <c r="V957" s="1"/>
  <c r="V955"/>
  <c r="W955" s="1"/>
  <c r="V927"/>
  <c r="W927" s="1"/>
  <c r="B929"/>
  <c r="V929" s="1"/>
  <c r="V997"/>
  <c r="W997" s="1"/>
  <c r="B999"/>
  <c r="V999" s="1"/>
  <c r="V913"/>
  <c r="W913" s="1"/>
  <c r="B915"/>
  <c r="V915" s="1"/>
  <c r="V8" i="15" l="1"/>
  <c r="W8" s="1"/>
  <c r="V488" i="13"/>
  <c r="W488" s="1"/>
  <c r="T143"/>
  <c r="Q143"/>
  <c r="N143"/>
  <c r="K143"/>
  <c r="H143"/>
  <c r="E143"/>
  <c r="B143"/>
  <c r="T142"/>
  <c r="Q142"/>
  <c r="N142"/>
  <c r="K142"/>
  <c r="H142"/>
  <c r="E142"/>
  <c r="B142"/>
  <c r="T14"/>
  <c r="Q14"/>
  <c r="N14"/>
  <c r="K14"/>
  <c r="H14"/>
  <c r="E14"/>
  <c r="B14"/>
  <c r="B286" i="9"/>
  <c r="C286" s="1"/>
  <c r="C282"/>
  <c r="C156" i="13" s="1"/>
  <c r="C283" i="9"/>
  <c r="D201" i="13" s="1"/>
  <c r="C284" i="9"/>
  <c r="C46" i="13" s="1"/>
  <c r="C285" i="9"/>
  <c r="C114" i="13" s="1"/>
  <c r="B570" l="1"/>
  <c r="H570"/>
  <c r="N570"/>
  <c r="E570"/>
  <c r="B114"/>
  <c r="T114"/>
  <c r="R114"/>
  <c r="P114"/>
  <c r="N114"/>
  <c r="L114"/>
  <c r="J114"/>
  <c r="H114"/>
  <c r="F114"/>
  <c r="D114"/>
  <c r="B156"/>
  <c r="T156"/>
  <c r="T168" s="1"/>
  <c r="R156"/>
  <c r="P156"/>
  <c r="N156"/>
  <c r="N168" s="1"/>
  <c r="L156"/>
  <c r="J156"/>
  <c r="H156"/>
  <c r="H168" s="1"/>
  <c r="F156"/>
  <c r="D156"/>
  <c r="U201"/>
  <c r="S201"/>
  <c r="Q201"/>
  <c r="O201"/>
  <c r="M201"/>
  <c r="K201"/>
  <c r="I201"/>
  <c r="G201"/>
  <c r="E201"/>
  <c r="C201"/>
  <c r="U114"/>
  <c r="S114"/>
  <c r="Q114"/>
  <c r="O114"/>
  <c r="M114"/>
  <c r="K114"/>
  <c r="I114"/>
  <c r="G114"/>
  <c r="E114"/>
  <c r="U156"/>
  <c r="S156"/>
  <c r="Q156"/>
  <c r="Q168" s="1"/>
  <c r="O156"/>
  <c r="M156"/>
  <c r="K156"/>
  <c r="K168" s="1"/>
  <c r="I156"/>
  <c r="G156"/>
  <c r="E156"/>
  <c r="E168" s="1"/>
  <c r="B201"/>
  <c r="T201"/>
  <c r="R201"/>
  <c r="P201"/>
  <c r="N201"/>
  <c r="L201"/>
  <c r="J201"/>
  <c r="H201"/>
  <c r="F201"/>
  <c r="Q570"/>
  <c r="T570"/>
  <c r="K570"/>
  <c r="V143"/>
  <c r="W143" s="1"/>
  <c r="V142"/>
  <c r="W142" s="1"/>
  <c r="B46"/>
  <c r="T46"/>
  <c r="R46"/>
  <c r="P46"/>
  <c r="N46"/>
  <c r="L46"/>
  <c r="J46"/>
  <c r="H46"/>
  <c r="F46"/>
  <c r="D46"/>
  <c r="U46"/>
  <c r="S46"/>
  <c r="Q46"/>
  <c r="O46"/>
  <c r="M46"/>
  <c r="K46"/>
  <c r="I46"/>
  <c r="G46"/>
  <c r="E46"/>
  <c r="B168" l="1"/>
  <c r="B170" s="1"/>
  <c r="B176" s="1"/>
  <c r="V570"/>
  <c r="W570" s="1"/>
  <c r="V46"/>
  <c r="W46" s="1"/>
  <c r="B299" l="1"/>
  <c r="B392"/>
  <c r="B399" s="1"/>
  <c r="B307"/>
  <c r="C149"/>
  <c r="D149"/>
  <c r="E149"/>
  <c r="F149"/>
  <c r="G149"/>
  <c r="H149"/>
  <c r="I149"/>
  <c r="J149"/>
  <c r="K149"/>
  <c r="L149"/>
  <c r="M149"/>
  <c r="N149"/>
  <c r="O149"/>
  <c r="P149"/>
  <c r="Q149"/>
  <c r="R149"/>
  <c r="S149"/>
  <c r="T149"/>
  <c r="U149"/>
  <c r="B149"/>
  <c r="D153" i="9"/>
  <c r="D131"/>
  <c r="B192" i="13"/>
  <c r="C192"/>
  <c r="C677" s="1"/>
  <c r="C678" s="1"/>
  <c r="C680" s="1"/>
  <c r="D192"/>
  <c r="D677" s="1"/>
  <c r="D678" s="1"/>
  <c r="D680" s="1"/>
  <c r="E192"/>
  <c r="F192"/>
  <c r="F677" s="1"/>
  <c r="F678" s="1"/>
  <c r="F680" s="1"/>
  <c r="G192"/>
  <c r="G677" s="1"/>
  <c r="G678" s="1"/>
  <c r="G680" s="1"/>
  <c r="H192"/>
  <c r="I192"/>
  <c r="I677" s="1"/>
  <c r="I678" s="1"/>
  <c r="I680" s="1"/>
  <c r="J192"/>
  <c r="J677" s="1"/>
  <c r="J678" s="1"/>
  <c r="J680" s="1"/>
  <c r="K192"/>
  <c r="L192"/>
  <c r="L677" s="1"/>
  <c r="L678" s="1"/>
  <c r="L680" s="1"/>
  <c r="M192"/>
  <c r="M677" s="1"/>
  <c r="M678" s="1"/>
  <c r="M680" s="1"/>
  <c r="N192"/>
  <c r="O192"/>
  <c r="O677" s="1"/>
  <c r="O678" s="1"/>
  <c r="O680" s="1"/>
  <c r="P192"/>
  <c r="P677" s="1"/>
  <c r="P678" s="1"/>
  <c r="P680" s="1"/>
  <c r="Q192"/>
  <c r="R192"/>
  <c r="R677" s="1"/>
  <c r="R678" s="1"/>
  <c r="R680" s="1"/>
  <c r="S192"/>
  <c r="S677" s="1"/>
  <c r="S678" s="1"/>
  <c r="S680" s="1"/>
  <c r="T192"/>
  <c r="U192"/>
  <c r="C368" i="4"/>
  <c r="D368"/>
  <c r="F368"/>
  <c r="G368"/>
  <c r="I368"/>
  <c r="J368"/>
  <c r="L368"/>
  <c r="M368"/>
  <c r="O368"/>
  <c r="P368"/>
  <c r="R368"/>
  <c r="S368"/>
  <c r="U368"/>
  <c r="C354"/>
  <c r="D354"/>
  <c r="F354"/>
  <c r="G354"/>
  <c r="I354"/>
  <c r="J354"/>
  <c r="L354"/>
  <c r="M354"/>
  <c r="O354"/>
  <c r="P354"/>
  <c r="R354"/>
  <c r="S354"/>
  <c r="U354"/>
  <c r="C361"/>
  <c r="D361"/>
  <c r="F361"/>
  <c r="G361"/>
  <c r="I361"/>
  <c r="J361"/>
  <c r="L361"/>
  <c r="M361"/>
  <c r="O361"/>
  <c r="P361"/>
  <c r="R361"/>
  <c r="S361"/>
  <c r="U361"/>
  <c r="C375"/>
  <c r="D375"/>
  <c r="F375"/>
  <c r="G375"/>
  <c r="I375"/>
  <c r="J375"/>
  <c r="L375"/>
  <c r="M375"/>
  <c r="O375"/>
  <c r="P375"/>
  <c r="R375"/>
  <c r="S375"/>
  <c r="U375"/>
  <c r="C333"/>
  <c r="D333"/>
  <c r="F333"/>
  <c r="G333"/>
  <c r="I333"/>
  <c r="J333"/>
  <c r="L333"/>
  <c r="M333"/>
  <c r="O333"/>
  <c r="P333"/>
  <c r="R333"/>
  <c r="S333"/>
  <c r="U333"/>
  <c r="C340"/>
  <c r="D340"/>
  <c r="F340"/>
  <c r="G340"/>
  <c r="I340"/>
  <c r="J340"/>
  <c r="L340"/>
  <c r="M340"/>
  <c r="O340"/>
  <c r="P340"/>
  <c r="R340"/>
  <c r="S340"/>
  <c r="U340"/>
  <c r="C347"/>
  <c r="D347"/>
  <c r="F347"/>
  <c r="G347"/>
  <c r="I347"/>
  <c r="J347"/>
  <c r="L347"/>
  <c r="M347"/>
  <c r="O347"/>
  <c r="P347"/>
  <c r="R347"/>
  <c r="S347"/>
  <c r="U347"/>
  <c r="C326"/>
  <c r="D326"/>
  <c r="F326"/>
  <c r="G326"/>
  <c r="I326"/>
  <c r="J326"/>
  <c r="L326"/>
  <c r="M326"/>
  <c r="O326"/>
  <c r="P326"/>
  <c r="R326"/>
  <c r="S326"/>
  <c r="U326"/>
  <c r="C319"/>
  <c r="D319"/>
  <c r="F319"/>
  <c r="G319"/>
  <c r="I319"/>
  <c r="J319"/>
  <c r="L319"/>
  <c r="M319"/>
  <c r="O319"/>
  <c r="P319"/>
  <c r="R319"/>
  <c r="S319"/>
  <c r="U319"/>
  <c r="C312"/>
  <c r="D312"/>
  <c r="F312"/>
  <c r="G312"/>
  <c r="I312"/>
  <c r="J312"/>
  <c r="L312"/>
  <c r="M312"/>
  <c r="O312"/>
  <c r="P312"/>
  <c r="R312"/>
  <c r="S312"/>
  <c r="U312"/>
  <c r="C305"/>
  <c r="D305"/>
  <c r="F305"/>
  <c r="G305"/>
  <c r="I305"/>
  <c r="J305"/>
  <c r="L305"/>
  <c r="M305"/>
  <c r="O305"/>
  <c r="P305"/>
  <c r="R305"/>
  <c r="S305"/>
  <c r="U305"/>
  <c r="C298"/>
  <c r="D298"/>
  <c r="F298"/>
  <c r="G298"/>
  <c r="I298"/>
  <c r="J298"/>
  <c r="L298"/>
  <c r="M298"/>
  <c r="O298"/>
  <c r="P298"/>
  <c r="R298"/>
  <c r="S298"/>
  <c r="U298"/>
  <c r="C291"/>
  <c r="D291"/>
  <c r="F291"/>
  <c r="G291"/>
  <c r="I291"/>
  <c r="J291"/>
  <c r="L291"/>
  <c r="M291"/>
  <c r="O291"/>
  <c r="P291"/>
  <c r="R291"/>
  <c r="S291"/>
  <c r="U291"/>
  <c r="C284"/>
  <c r="D284"/>
  <c r="F284"/>
  <c r="G284"/>
  <c r="I284"/>
  <c r="J284"/>
  <c r="L284"/>
  <c r="M284"/>
  <c r="O284"/>
  <c r="P284"/>
  <c r="R284"/>
  <c r="S284"/>
  <c r="U284"/>
  <c r="C270"/>
  <c r="D270"/>
  <c r="F270"/>
  <c r="G270"/>
  <c r="I270"/>
  <c r="J270"/>
  <c r="L270"/>
  <c r="M270"/>
  <c r="O270"/>
  <c r="P270"/>
  <c r="R270"/>
  <c r="S270"/>
  <c r="U270"/>
  <c r="C277"/>
  <c r="D277"/>
  <c r="F277"/>
  <c r="G277"/>
  <c r="I277"/>
  <c r="J277"/>
  <c r="L277"/>
  <c r="M277"/>
  <c r="O277"/>
  <c r="P277"/>
  <c r="R277"/>
  <c r="S277"/>
  <c r="U277"/>
  <c r="C263"/>
  <c r="D263"/>
  <c r="F263"/>
  <c r="G263"/>
  <c r="I263"/>
  <c r="J263"/>
  <c r="L263"/>
  <c r="M263"/>
  <c r="O263"/>
  <c r="P263"/>
  <c r="R263"/>
  <c r="S263"/>
  <c r="U263"/>
  <c r="C249"/>
  <c r="D249"/>
  <c r="F249"/>
  <c r="G249"/>
  <c r="I249"/>
  <c r="J249"/>
  <c r="L249"/>
  <c r="M249"/>
  <c r="O249"/>
  <c r="P249"/>
  <c r="R249"/>
  <c r="S249"/>
  <c r="U249"/>
  <c r="U208"/>
  <c r="C201"/>
  <c r="D201"/>
  <c r="F201"/>
  <c r="G201"/>
  <c r="I201"/>
  <c r="J201"/>
  <c r="L201"/>
  <c r="M201"/>
  <c r="O201"/>
  <c r="P201"/>
  <c r="R201"/>
  <c r="S201"/>
  <c r="U201"/>
  <c r="V136"/>
  <c r="W136" s="1"/>
  <c r="C156"/>
  <c r="D156"/>
  <c r="E156"/>
  <c r="F156"/>
  <c r="G156"/>
  <c r="H156"/>
  <c r="I156"/>
  <c r="J156"/>
  <c r="L156"/>
  <c r="M156"/>
  <c r="N156"/>
  <c r="O156"/>
  <c r="P156"/>
  <c r="Q156"/>
  <c r="R156"/>
  <c r="S156"/>
  <c r="T156"/>
  <c r="U156"/>
  <c r="B156"/>
  <c r="D142"/>
  <c r="E142"/>
  <c r="G142"/>
  <c r="H142"/>
  <c r="I142"/>
  <c r="J142"/>
  <c r="K142"/>
  <c r="L142"/>
  <c r="M142"/>
  <c r="N142"/>
  <c r="O142"/>
  <c r="P142"/>
  <c r="Q142"/>
  <c r="R142"/>
  <c r="S142"/>
  <c r="T142"/>
  <c r="U142"/>
  <c r="B142"/>
  <c r="C163"/>
  <c r="D163"/>
  <c r="E163"/>
  <c r="F163"/>
  <c r="G163"/>
  <c r="H163"/>
  <c r="I163"/>
  <c r="J163"/>
  <c r="K163"/>
  <c r="L163"/>
  <c r="M163"/>
  <c r="N163"/>
  <c r="O163"/>
  <c r="P163"/>
  <c r="Q163"/>
  <c r="R163"/>
  <c r="S163"/>
  <c r="T163"/>
  <c r="U163"/>
  <c r="C135"/>
  <c r="C137" s="1"/>
  <c r="C139" s="1"/>
  <c r="D135"/>
  <c r="D137" s="1"/>
  <c r="D139" s="1"/>
  <c r="F135"/>
  <c r="F137" s="1"/>
  <c r="F139" s="1"/>
  <c r="G135"/>
  <c r="G137" s="1"/>
  <c r="G139" s="1"/>
  <c r="H135"/>
  <c r="H137" s="1"/>
  <c r="H139" s="1"/>
  <c r="I135"/>
  <c r="I137" s="1"/>
  <c r="I139" s="1"/>
  <c r="K135"/>
  <c r="K137" s="1"/>
  <c r="K139" s="1"/>
  <c r="L135"/>
  <c r="L137" s="1"/>
  <c r="L139" s="1"/>
  <c r="M135"/>
  <c r="M137" s="1"/>
  <c r="M139" s="1"/>
  <c r="N135"/>
  <c r="N137" s="1"/>
  <c r="N139" s="1"/>
  <c r="P135"/>
  <c r="P137" s="1"/>
  <c r="P139" s="1"/>
  <c r="Q135"/>
  <c r="Q137" s="1"/>
  <c r="Q139" s="1"/>
  <c r="R135"/>
  <c r="R137" s="1"/>
  <c r="R139" s="1"/>
  <c r="S135"/>
  <c r="S137" s="1"/>
  <c r="S139" s="1"/>
  <c r="U135"/>
  <c r="U137" s="1"/>
  <c r="U139" s="1"/>
  <c r="B135"/>
  <c r="C191"/>
  <c r="D191"/>
  <c r="F191"/>
  <c r="G191"/>
  <c r="I191"/>
  <c r="J191"/>
  <c r="L191"/>
  <c r="M191"/>
  <c r="O191"/>
  <c r="P191"/>
  <c r="R191"/>
  <c r="S191"/>
  <c r="U191"/>
  <c r="U677" i="13" l="1"/>
  <c r="U678" s="1"/>
  <c r="U680" s="1"/>
  <c r="Q677"/>
  <c r="Q678" s="1"/>
  <c r="Q680" s="1"/>
  <c r="K677"/>
  <c r="K678" s="1"/>
  <c r="K680" s="1"/>
  <c r="E677"/>
  <c r="E678" s="1"/>
  <c r="E680" s="1"/>
  <c r="T677"/>
  <c r="T678" s="1"/>
  <c r="T680" s="1"/>
  <c r="N677"/>
  <c r="N678" s="1"/>
  <c r="N680" s="1"/>
  <c r="H677"/>
  <c r="H678" s="1"/>
  <c r="H680" s="1"/>
  <c r="B677"/>
  <c r="B678" s="1"/>
  <c r="V149"/>
  <c r="W149" s="1"/>
  <c r="V192"/>
  <c r="W192" s="1"/>
  <c r="B137" i="4"/>
  <c r="V149"/>
  <c r="W149" s="1"/>
  <c r="V677" i="13" l="1"/>
  <c r="W677" s="1"/>
  <c r="B680"/>
  <c r="V680" s="1"/>
  <c r="V678"/>
  <c r="W678" s="1"/>
  <c r="B139" i="4"/>
  <c r="V369" l="1"/>
  <c r="W369" s="1"/>
  <c r="U370"/>
  <c r="U372" s="1"/>
  <c r="S370"/>
  <c r="S372" s="1"/>
  <c r="R370"/>
  <c r="R372" s="1"/>
  <c r="P370"/>
  <c r="P372" s="1"/>
  <c r="O370"/>
  <c r="O372" s="1"/>
  <c r="M370"/>
  <c r="M372" s="1"/>
  <c r="L370"/>
  <c r="L372" s="1"/>
  <c r="J370"/>
  <c r="J372" s="1"/>
  <c r="I370"/>
  <c r="I372" s="1"/>
  <c r="G370"/>
  <c r="G372" s="1"/>
  <c r="F370"/>
  <c r="F372" s="1"/>
  <c r="D370"/>
  <c r="D372" s="1"/>
  <c r="C370"/>
  <c r="C372" s="1"/>
  <c r="U363"/>
  <c r="U365" s="1"/>
  <c r="S363"/>
  <c r="S365" s="1"/>
  <c r="R363"/>
  <c r="R365" s="1"/>
  <c r="P363"/>
  <c r="P365" s="1"/>
  <c r="O363"/>
  <c r="O365" s="1"/>
  <c r="M363"/>
  <c r="M365" s="1"/>
  <c r="L363"/>
  <c r="L365" s="1"/>
  <c r="J363"/>
  <c r="J365" s="1"/>
  <c r="I363"/>
  <c r="I365" s="1"/>
  <c r="G363"/>
  <c r="G365" s="1"/>
  <c r="F363"/>
  <c r="F365" s="1"/>
  <c r="D363"/>
  <c r="D365" s="1"/>
  <c r="C363"/>
  <c r="C365" s="1"/>
  <c r="U377"/>
  <c r="U379" s="1"/>
  <c r="S377"/>
  <c r="S379" s="1"/>
  <c r="R377"/>
  <c r="R379" s="1"/>
  <c r="P377"/>
  <c r="P379" s="1"/>
  <c r="O377"/>
  <c r="O379" s="1"/>
  <c r="M377"/>
  <c r="M379" s="1"/>
  <c r="L377"/>
  <c r="L379" s="1"/>
  <c r="J377"/>
  <c r="J379" s="1"/>
  <c r="I377"/>
  <c r="I379" s="1"/>
  <c r="G377"/>
  <c r="G379" s="1"/>
  <c r="F377"/>
  <c r="F379" s="1"/>
  <c r="D377"/>
  <c r="D379" s="1"/>
  <c r="C377"/>
  <c r="C379" s="1"/>
  <c r="V327"/>
  <c r="W327" s="1"/>
  <c r="U328"/>
  <c r="U330" s="1"/>
  <c r="S328"/>
  <c r="S330" s="1"/>
  <c r="R328"/>
  <c r="R330" s="1"/>
  <c r="P328"/>
  <c r="P330" s="1"/>
  <c r="O328"/>
  <c r="O330" s="1"/>
  <c r="M328"/>
  <c r="M330" s="1"/>
  <c r="L328"/>
  <c r="L330" s="1"/>
  <c r="J328"/>
  <c r="J330" s="1"/>
  <c r="I328"/>
  <c r="I330" s="1"/>
  <c r="G328"/>
  <c r="G330" s="1"/>
  <c r="F328"/>
  <c r="F330" s="1"/>
  <c r="D328"/>
  <c r="D330" s="1"/>
  <c r="C328"/>
  <c r="C330" s="1"/>
  <c r="V313"/>
  <c r="W313" s="1"/>
  <c r="U314"/>
  <c r="U316" s="1"/>
  <c r="S314"/>
  <c r="S316" s="1"/>
  <c r="R314"/>
  <c r="R316" s="1"/>
  <c r="P314"/>
  <c r="P316" s="1"/>
  <c r="O314"/>
  <c r="O316" s="1"/>
  <c r="M314"/>
  <c r="M316" s="1"/>
  <c r="L314"/>
  <c r="L316" s="1"/>
  <c r="J314"/>
  <c r="J316" s="1"/>
  <c r="I314"/>
  <c r="I316" s="1"/>
  <c r="G314"/>
  <c r="G316" s="1"/>
  <c r="F314"/>
  <c r="F316" s="1"/>
  <c r="D314"/>
  <c r="D316" s="1"/>
  <c r="C314"/>
  <c r="C316" s="1"/>
  <c r="S300"/>
  <c r="S302" s="1"/>
  <c r="P300"/>
  <c r="P302" s="1"/>
  <c r="O300"/>
  <c r="O302" s="1"/>
  <c r="M300"/>
  <c r="M302" s="1"/>
  <c r="L300"/>
  <c r="L302" s="1"/>
  <c r="J300"/>
  <c r="J302" s="1"/>
  <c r="G300"/>
  <c r="G302" s="1"/>
  <c r="F300"/>
  <c r="F302" s="1"/>
  <c r="D300"/>
  <c r="D302" s="1"/>
  <c r="C300"/>
  <c r="C302" s="1"/>
  <c r="U300"/>
  <c r="U302" s="1"/>
  <c r="R300"/>
  <c r="R302" s="1"/>
  <c r="I300"/>
  <c r="I302" s="1"/>
  <c r="V292"/>
  <c r="W292" s="1"/>
  <c r="U293"/>
  <c r="U295" s="1"/>
  <c r="S293"/>
  <c r="S295" s="1"/>
  <c r="R293"/>
  <c r="R295" s="1"/>
  <c r="P293"/>
  <c r="P295" s="1"/>
  <c r="O293"/>
  <c r="O295" s="1"/>
  <c r="M293"/>
  <c r="M295" s="1"/>
  <c r="L293"/>
  <c r="L295" s="1"/>
  <c r="J293"/>
  <c r="J295" s="1"/>
  <c r="I293"/>
  <c r="I295" s="1"/>
  <c r="G293"/>
  <c r="G295" s="1"/>
  <c r="F293"/>
  <c r="F295" s="1"/>
  <c r="D293"/>
  <c r="D295" s="1"/>
  <c r="C293"/>
  <c r="C295" s="1"/>
  <c r="S279"/>
  <c r="S281" s="1"/>
  <c r="R279"/>
  <c r="R281" s="1"/>
  <c r="P279"/>
  <c r="P281" s="1"/>
  <c r="O279"/>
  <c r="O281" s="1"/>
  <c r="M279"/>
  <c r="M281" s="1"/>
  <c r="L279"/>
  <c r="L281" s="1"/>
  <c r="J279"/>
  <c r="J281" s="1"/>
  <c r="I279"/>
  <c r="I281" s="1"/>
  <c r="G279"/>
  <c r="G281" s="1"/>
  <c r="F279"/>
  <c r="F281" s="1"/>
  <c r="D279"/>
  <c r="D281" s="1"/>
  <c r="C279"/>
  <c r="C281" s="1"/>
  <c r="U279"/>
  <c r="U281" s="1"/>
  <c r="S272"/>
  <c r="S274" s="1"/>
  <c r="P272"/>
  <c r="P274" s="1"/>
  <c r="M272"/>
  <c r="M274" s="1"/>
  <c r="L272"/>
  <c r="L274" s="1"/>
  <c r="G272"/>
  <c r="G274" s="1"/>
  <c r="D272"/>
  <c r="D274" s="1"/>
  <c r="U272"/>
  <c r="U274" s="1"/>
  <c r="R272"/>
  <c r="R274" s="1"/>
  <c r="O272"/>
  <c r="O274" s="1"/>
  <c r="J272"/>
  <c r="J274" s="1"/>
  <c r="I272"/>
  <c r="I274" s="1"/>
  <c r="F272"/>
  <c r="F274" s="1"/>
  <c r="C272"/>
  <c r="C274" s="1"/>
  <c r="V239"/>
  <c r="W239" s="1"/>
  <c r="U232"/>
  <c r="T232"/>
  <c r="S232"/>
  <c r="R232"/>
  <c r="Q232"/>
  <c r="P232"/>
  <c r="O232"/>
  <c r="N232"/>
  <c r="M232"/>
  <c r="L232"/>
  <c r="K232"/>
  <c r="J232"/>
  <c r="I232"/>
  <c r="H232"/>
  <c r="G232"/>
  <c r="F232"/>
  <c r="E232"/>
  <c r="D232"/>
  <c r="C232"/>
  <c r="B232"/>
  <c r="V225"/>
  <c r="W225" s="1"/>
  <c r="V215"/>
  <c r="W215" s="1"/>
  <c r="V202"/>
  <c r="W202" s="1"/>
  <c r="V192"/>
  <c r="W192" s="1"/>
  <c r="U193"/>
  <c r="U195" s="1"/>
  <c r="S193"/>
  <c r="S195" s="1"/>
  <c r="R193"/>
  <c r="R195" s="1"/>
  <c r="P193"/>
  <c r="P195" s="1"/>
  <c r="O193"/>
  <c r="O195" s="1"/>
  <c r="M193"/>
  <c r="M195" s="1"/>
  <c r="L193"/>
  <c r="L195" s="1"/>
  <c r="J193"/>
  <c r="J195" s="1"/>
  <c r="I193"/>
  <c r="I195" s="1"/>
  <c r="G193"/>
  <c r="G195" s="1"/>
  <c r="F193"/>
  <c r="F195" s="1"/>
  <c r="D193"/>
  <c r="D195" s="1"/>
  <c r="C193"/>
  <c r="C195" s="1"/>
  <c r="V184"/>
  <c r="W184" s="1"/>
  <c r="V177"/>
  <c r="W177" s="1"/>
  <c r="U172"/>
  <c r="U174" s="1"/>
  <c r="T172"/>
  <c r="T174" s="1"/>
  <c r="S172"/>
  <c r="S174" s="1"/>
  <c r="R172"/>
  <c r="R174" s="1"/>
  <c r="Q172"/>
  <c r="Q174" s="1"/>
  <c r="P172"/>
  <c r="P174" s="1"/>
  <c r="O172"/>
  <c r="O174" s="1"/>
  <c r="N172"/>
  <c r="N174" s="1"/>
  <c r="M172"/>
  <c r="M174" s="1"/>
  <c r="L172"/>
  <c r="L174" s="1"/>
  <c r="K172"/>
  <c r="K174" s="1"/>
  <c r="J172"/>
  <c r="J174" s="1"/>
  <c r="I172"/>
  <c r="I174" s="1"/>
  <c r="H172"/>
  <c r="H174" s="1"/>
  <c r="G172"/>
  <c r="G174" s="1"/>
  <c r="F172"/>
  <c r="F174" s="1"/>
  <c r="E172"/>
  <c r="E174" s="1"/>
  <c r="D172"/>
  <c r="D174" s="1"/>
  <c r="C172"/>
  <c r="C174" s="1"/>
  <c r="B172"/>
  <c r="V170"/>
  <c r="W170" s="1"/>
  <c r="V164"/>
  <c r="W164" s="1"/>
  <c r="U165"/>
  <c r="U167" s="1"/>
  <c r="T165"/>
  <c r="T167" s="1"/>
  <c r="S165"/>
  <c r="S167" s="1"/>
  <c r="R165"/>
  <c r="R167" s="1"/>
  <c r="Q165"/>
  <c r="Q167" s="1"/>
  <c r="P165"/>
  <c r="P167" s="1"/>
  <c r="O165"/>
  <c r="O167" s="1"/>
  <c r="N165"/>
  <c r="N167" s="1"/>
  <c r="M165"/>
  <c r="M167" s="1"/>
  <c r="L165"/>
  <c r="L167" s="1"/>
  <c r="K165"/>
  <c r="K167" s="1"/>
  <c r="J165"/>
  <c r="J167" s="1"/>
  <c r="I165"/>
  <c r="I167" s="1"/>
  <c r="H165"/>
  <c r="H167" s="1"/>
  <c r="G165"/>
  <c r="G167" s="1"/>
  <c r="F165"/>
  <c r="F167" s="1"/>
  <c r="E165"/>
  <c r="E167" s="1"/>
  <c r="D165"/>
  <c r="D167" s="1"/>
  <c r="C165"/>
  <c r="C167" s="1"/>
  <c r="V157"/>
  <c r="W157" s="1"/>
  <c r="U158"/>
  <c r="U160" s="1"/>
  <c r="T158"/>
  <c r="T160" s="1"/>
  <c r="S158"/>
  <c r="S160" s="1"/>
  <c r="R158"/>
  <c r="R160" s="1"/>
  <c r="Q158"/>
  <c r="Q160" s="1"/>
  <c r="P158"/>
  <c r="P160" s="1"/>
  <c r="O158"/>
  <c r="O160" s="1"/>
  <c r="N158"/>
  <c r="N160" s="1"/>
  <c r="M158"/>
  <c r="M160" s="1"/>
  <c r="L158"/>
  <c r="L160" s="1"/>
  <c r="J158"/>
  <c r="J160" s="1"/>
  <c r="I158"/>
  <c r="I160" s="1"/>
  <c r="H158"/>
  <c r="H160" s="1"/>
  <c r="G158"/>
  <c r="G160" s="1"/>
  <c r="F158"/>
  <c r="F160" s="1"/>
  <c r="E158"/>
  <c r="E160" s="1"/>
  <c r="D158"/>
  <c r="D160" s="1"/>
  <c r="C158"/>
  <c r="C160" s="1"/>
  <c r="B158"/>
  <c r="V143"/>
  <c r="W143" s="1"/>
  <c r="U144"/>
  <c r="U146" s="1"/>
  <c r="T144"/>
  <c r="T146" s="1"/>
  <c r="S144"/>
  <c r="S146" s="1"/>
  <c r="R144"/>
  <c r="R146" s="1"/>
  <c r="Q144"/>
  <c r="Q146" s="1"/>
  <c r="P144"/>
  <c r="P146" s="1"/>
  <c r="O144"/>
  <c r="O146" s="1"/>
  <c r="N144"/>
  <c r="N146" s="1"/>
  <c r="M144"/>
  <c r="M146" s="1"/>
  <c r="L144"/>
  <c r="L146" s="1"/>
  <c r="K144"/>
  <c r="K146" s="1"/>
  <c r="J144"/>
  <c r="J146" s="1"/>
  <c r="I144"/>
  <c r="I146" s="1"/>
  <c r="H144"/>
  <c r="H146" s="1"/>
  <c r="G144"/>
  <c r="G146" s="1"/>
  <c r="E144"/>
  <c r="E146" s="1"/>
  <c r="D144"/>
  <c r="D146" s="1"/>
  <c r="B144"/>
  <c r="V299" l="1"/>
  <c r="W299" s="1"/>
  <c r="V362"/>
  <c r="W362" s="1"/>
  <c r="V271"/>
  <c r="W271" s="1"/>
  <c r="V278"/>
  <c r="W278" s="1"/>
  <c r="B146"/>
  <c r="B160"/>
  <c r="B174"/>
  <c r="V174" s="1"/>
  <c r="V172"/>
  <c r="W172" s="1"/>
  <c r="V171"/>
  <c r="W171" s="1"/>
  <c r="V232"/>
  <c r="W232" s="1"/>
  <c r="V376"/>
  <c r="W376" s="1"/>
  <c r="D130" i="9" l="1"/>
  <c r="D95"/>
  <c r="D96" s="1"/>
  <c r="D42"/>
  <c r="D43" s="1"/>
  <c r="F250" i="10"/>
  <c r="G250" s="1"/>
  <c r="F251"/>
  <c r="G251" s="1"/>
  <c r="F252"/>
  <c r="G252" s="1"/>
  <c r="F253"/>
  <c r="G253" s="1"/>
  <c r="G254"/>
  <c r="H254"/>
  <c r="I254"/>
  <c r="J254"/>
  <c r="E34"/>
  <c r="F34"/>
  <c r="F33"/>
  <c r="F32"/>
  <c r="E31"/>
  <c r="AN39" i="14" s="1"/>
  <c r="F31" i="10"/>
  <c r="AO39" i="14" s="1"/>
  <c r="F30" i="10"/>
  <c r="E30"/>
  <c r="F28"/>
  <c r="E28"/>
  <c r="E27"/>
  <c r="F27"/>
  <c r="F26"/>
  <c r="E26"/>
  <c r="E25"/>
  <c r="F25"/>
  <c r="F24"/>
  <c r="E24"/>
  <c r="E23"/>
  <c r="F23"/>
  <c r="F22"/>
  <c r="E22"/>
  <c r="E21"/>
  <c r="F21"/>
  <c r="F19"/>
  <c r="E19"/>
  <c r="F16"/>
  <c r="E16"/>
  <c r="F14"/>
  <c r="E14"/>
  <c r="E13"/>
  <c r="F13"/>
  <c r="F12"/>
  <c r="E12"/>
  <c r="E11"/>
  <c r="F11"/>
  <c r="F10"/>
  <c r="E10"/>
  <c r="B246"/>
  <c r="C246" s="1"/>
  <c r="B245"/>
  <c r="B244"/>
  <c r="C244" s="1"/>
  <c r="B243"/>
  <c r="C243" s="1"/>
  <c r="E8"/>
  <c r="F8"/>
  <c r="E11" i="14"/>
  <c r="D11"/>
  <c r="B11"/>
  <c r="C245" i="10"/>
  <c r="B233"/>
  <c r="C232"/>
  <c r="D152" i="9"/>
  <c r="C111" i="13"/>
  <c r="D111"/>
  <c r="E111"/>
  <c r="F111"/>
  <c r="G111"/>
  <c r="H111"/>
  <c r="I111"/>
  <c r="J111"/>
  <c r="K111"/>
  <c r="L111"/>
  <c r="M111"/>
  <c r="N111"/>
  <c r="O111"/>
  <c r="P111"/>
  <c r="Q111"/>
  <c r="R111"/>
  <c r="S111"/>
  <c r="T111"/>
  <c r="U111"/>
  <c r="B111"/>
  <c r="C110"/>
  <c r="C891" s="1"/>
  <c r="D110"/>
  <c r="D891" s="1"/>
  <c r="E110"/>
  <c r="E891" s="1"/>
  <c r="F110"/>
  <c r="F891" s="1"/>
  <c r="G110"/>
  <c r="G891" s="1"/>
  <c r="H110"/>
  <c r="H891" s="1"/>
  <c r="I110"/>
  <c r="I891" s="1"/>
  <c r="J110"/>
  <c r="J891" s="1"/>
  <c r="K110"/>
  <c r="K891" s="1"/>
  <c r="L110"/>
  <c r="L891" s="1"/>
  <c r="M110"/>
  <c r="M891" s="1"/>
  <c r="N110"/>
  <c r="N891" s="1"/>
  <c r="O110"/>
  <c r="O891" s="1"/>
  <c r="P110"/>
  <c r="P891" s="1"/>
  <c r="Q110"/>
  <c r="Q891" s="1"/>
  <c r="R110"/>
  <c r="R891" s="1"/>
  <c r="S110"/>
  <c r="S891" s="1"/>
  <c r="T110"/>
  <c r="T891" s="1"/>
  <c r="U110"/>
  <c r="U891" s="1"/>
  <c r="B110"/>
  <c r="B891" s="1"/>
  <c r="C109"/>
  <c r="C835" s="1"/>
  <c r="D109"/>
  <c r="D835" s="1"/>
  <c r="E109"/>
  <c r="E835" s="1"/>
  <c r="F109"/>
  <c r="F835" s="1"/>
  <c r="G109"/>
  <c r="G835" s="1"/>
  <c r="H109"/>
  <c r="H835" s="1"/>
  <c r="I109"/>
  <c r="I835" s="1"/>
  <c r="J109"/>
  <c r="J835" s="1"/>
  <c r="K109"/>
  <c r="K835" s="1"/>
  <c r="L109"/>
  <c r="L835" s="1"/>
  <c r="M109"/>
  <c r="M835" s="1"/>
  <c r="N109"/>
  <c r="N835" s="1"/>
  <c r="O109"/>
  <c r="O835" s="1"/>
  <c r="P109"/>
  <c r="P835" s="1"/>
  <c r="Q109"/>
  <c r="Q835" s="1"/>
  <c r="R109"/>
  <c r="R835" s="1"/>
  <c r="S109"/>
  <c r="S835" s="1"/>
  <c r="T109"/>
  <c r="T835" s="1"/>
  <c r="U109"/>
  <c r="U835" s="1"/>
  <c r="B109"/>
  <c r="B835" s="1"/>
  <c r="C108"/>
  <c r="D108"/>
  <c r="E108"/>
  <c r="E898" s="1"/>
  <c r="F108"/>
  <c r="G108"/>
  <c r="H108"/>
  <c r="H898" s="1"/>
  <c r="I108"/>
  <c r="J108"/>
  <c r="K108"/>
  <c r="K898" s="1"/>
  <c r="L108"/>
  <c r="M108"/>
  <c r="N108"/>
  <c r="N898" s="1"/>
  <c r="O108"/>
  <c r="P108"/>
  <c r="Q108"/>
  <c r="Q898" s="1"/>
  <c r="R108"/>
  <c r="S108"/>
  <c r="T108"/>
  <c r="T898" s="1"/>
  <c r="U108"/>
  <c r="B108"/>
  <c r="C107"/>
  <c r="C870" s="1"/>
  <c r="D107"/>
  <c r="D870" s="1"/>
  <c r="E107"/>
  <c r="E870" s="1"/>
  <c r="F107"/>
  <c r="F870" s="1"/>
  <c r="G107"/>
  <c r="G870" s="1"/>
  <c r="H107"/>
  <c r="H870" s="1"/>
  <c r="I107"/>
  <c r="I870" s="1"/>
  <c r="J107"/>
  <c r="J870" s="1"/>
  <c r="K107"/>
  <c r="K870" s="1"/>
  <c r="L107"/>
  <c r="L870" s="1"/>
  <c r="M107"/>
  <c r="M870" s="1"/>
  <c r="N107"/>
  <c r="N870" s="1"/>
  <c r="O107"/>
  <c r="O870" s="1"/>
  <c r="P107"/>
  <c r="P870" s="1"/>
  <c r="Q107"/>
  <c r="Q870" s="1"/>
  <c r="R107"/>
  <c r="R870" s="1"/>
  <c r="S107"/>
  <c r="S870" s="1"/>
  <c r="T107"/>
  <c r="T870" s="1"/>
  <c r="U107"/>
  <c r="U870" s="1"/>
  <c r="B107"/>
  <c r="B870" s="1"/>
  <c r="C106"/>
  <c r="D106"/>
  <c r="E106"/>
  <c r="E828" s="1"/>
  <c r="F106"/>
  <c r="G106"/>
  <c r="H106"/>
  <c r="H828" s="1"/>
  <c r="I106"/>
  <c r="J106"/>
  <c r="K106"/>
  <c r="K828" s="1"/>
  <c r="L106"/>
  <c r="M106"/>
  <c r="N106"/>
  <c r="N828" s="1"/>
  <c r="O106"/>
  <c r="P106"/>
  <c r="Q106"/>
  <c r="Q828" s="1"/>
  <c r="R106"/>
  <c r="S106"/>
  <c r="T106"/>
  <c r="T828" s="1"/>
  <c r="U106"/>
  <c r="B106"/>
  <c r="C105"/>
  <c r="C1017" s="1"/>
  <c r="C1018" s="1"/>
  <c r="C1020" s="1"/>
  <c r="D105"/>
  <c r="D1017" s="1"/>
  <c r="D1018" s="1"/>
  <c r="D1020" s="1"/>
  <c r="E105"/>
  <c r="E1017" s="1"/>
  <c r="E1018" s="1"/>
  <c r="E1020" s="1"/>
  <c r="F105"/>
  <c r="F1017" s="1"/>
  <c r="F1018" s="1"/>
  <c r="F1020" s="1"/>
  <c r="G105"/>
  <c r="G1017" s="1"/>
  <c r="G1018" s="1"/>
  <c r="G1020" s="1"/>
  <c r="H105"/>
  <c r="H1017" s="1"/>
  <c r="H1018" s="1"/>
  <c r="H1020" s="1"/>
  <c r="I105"/>
  <c r="I1017" s="1"/>
  <c r="I1018" s="1"/>
  <c r="I1020" s="1"/>
  <c r="J105"/>
  <c r="J1017" s="1"/>
  <c r="J1018" s="1"/>
  <c r="J1020" s="1"/>
  <c r="K105"/>
  <c r="K1017" s="1"/>
  <c r="K1018" s="1"/>
  <c r="K1020" s="1"/>
  <c r="L105"/>
  <c r="L1017" s="1"/>
  <c r="L1018" s="1"/>
  <c r="L1020" s="1"/>
  <c r="M105"/>
  <c r="M1017" s="1"/>
  <c r="M1018" s="1"/>
  <c r="M1020" s="1"/>
  <c r="N105"/>
  <c r="N1017" s="1"/>
  <c r="N1018" s="1"/>
  <c r="N1020" s="1"/>
  <c r="O105"/>
  <c r="O1017" s="1"/>
  <c r="O1018" s="1"/>
  <c r="O1020" s="1"/>
  <c r="P105"/>
  <c r="P1017" s="1"/>
  <c r="P1018" s="1"/>
  <c r="P1020" s="1"/>
  <c r="Q105"/>
  <c r="Q1017" s="1"/>
  <c r="Q1018" s="1"/>
  <c r="Q1020" s="1"/>
  <c r="R105"/>
  <c r="R1017" s="1"/>
  <c r="R1018" s="1"/>
  <c r="R1020" s="1"/>
  <c r="S105"/>
  <c r="S1017" s="1"/>
  <c r="S1018" s="1"/>
  <c r="S1020" s="1"/>
  <c r="T105"/>
  <c r="T1017" s="1"/>
  <c r="T1018" s="1"/>
  <c r="T1020" s="1"/>
  <c r="U105"/>
  <c r="U1017" s="1"/>
  <c r="U1018" s="1"/>
  <c r="U1020" s="1"/>
  <c r="B105"/>
  <c r="B1017" s="1"/>
  <c r="C104"/>
  <c r="D104"/>
  <c r="E104"/>
  <c r="E989" s="1"/>
  <c r="F104"/>
  <c r="G104"/>
  <c r="H104"/>
  <c r="H989" s="1"/>
  <c r="I104"/>
  <c r="J104"/>
  <c r="K104"/>
  <c r="K989" s="1"/>
  <c r="L104"/>
  <c r="M104"/>
  <c r="N104"/>
  <c r="N989" s="1"/>
  <c r="O104"/>
  <c r="P104"/>
  <c r="Q104"/>
  <c r="Q989" s="1"/>
  <c r="R104"/>
  <c r="S104"/>
  <c r="T104"/>
  <c r="T989" s="1"/>
  <c r="U104"/>
  <c r="B104"/>
  <c r="C103"/>
  <c r="D103"/>
  <c r="E103"/>
  <c r="E884" s="1"/>
  <c r="F103"/>
  <c r="G103"/>
  <c r="H103"/>
  <c r="H884" s="1"/>
  <c r="I103"/>
  <c r="J103"/>
  <c r="K103"/>
  <c r="K884" s="1"/>
  <c r="L103"/>
  <c r="M103"/>
  <c r="N103"/>
  <c r="N884" s="1"/>
  <c r="O103"/>
  <c r="P103"/>
  <c r="Q103"/>
  <c r="Q884" s="1"/>
  <c r="R103"/>
  <c r="S103"/>
  <c r="T103"/>
  <c r="T884" s="1"/>
  <c r="U103"/>
  <c r="B103"/>
  <c r="C102"/>
  <c r="D102"/>
  <c r="E102"/>
  <c r="E1010" s="1"/>
  <c r="E1011" s="1"/>
  <c r="E1013" s="1"/>
  <c r="F102"/>
  <c r="G102"/>
  <c r="H102"/>
  <c r="H1010" s="1"/>
  <c r="H1011" s="1"/>
  <c r="H1013" s="1"/>
  <c r="I102"/>
  <c r="J102"/>
  <c r="K102"/>
  <c r="K1010" s="1"/>
  <c r="K1011" s="1"/>
  <c r="K1013" s="1"/>
  <c r="L102"/>
  <c r="M102"/>
  <c r="N102"/>
  <c r="N1010" s="1"/>
  <c r="N1011" s="1"/>
  <c r="N1013" s="1"/>
  <c r="O102"/>
  <c r="P102"/>
  <c r="Q102"/>
  <c r="Q1010" s="1"/>
  <c r="Q1011" s="1"/>
  <c r="Q1013" s="1"/>
  <c r="R102"/>
  <c r="S102"/>
  <c r="T102"/>
  <c r="T1010" s="1"/>
  <c r="T1011" s="1"/>
  <c r="T1013" s="1"/>
  <c r="U102"/>
  <c r="B102"/>
  <c r="C101"/>
  <c r="D101"/>
  <c r="E101"/>
  <c r="F101"/>
  <c r="G101"/>
  <c r="H101"/>
  <c r="I101"/>
  <c r="J101"/>
  <c r="K101"/>
  <c r="L101"/>
  <c r="M101"/>
  <c r="N101"/>
  <c r="O101"/>
  <c r="P101"/>
  <c r="Q101"/>
  <c r="R101"/>
  <c r="S101"/>
  <c r="T101"/>
  <c r="U101"/>
  <c r="B101"/>
  <c r="C100"/>
  <c r="D100"/>
  <c r="E100"/>
  <c r="F100"/>
  <c r="G100"/>
  <c r="H100"/>
  <c r="I100"/>
  <c r="J100"/>
  <c r="K100"/>
  <c r="L100"/>
  <c r="M100"/>
  <c r="N100"/>
  <c r="O100"/>
  <c r="P100"/>
  <c r="Q100"/>
  <c r="R100"/>
  <c r="S100"/>
  <c r="T100"/>
  <c r="U100"/>
  <c r="B100"/>
  <c r="C99"/>
  <c r="D99"/>
  <c r="E99"/>
  <c r="F99"/>
  <c r="G99"/>
  <c r="H99"/>
  <c r="I99"/>
  <c r="J99"/>
  <c r="K99"/>
  <c r="L99"/>
  <c r="M99"/>
  <c r="N99"/>
  <c r="O99"/>
  <c r="P99"/>
  <c r="Q99"/>
  <c r="R99"/>
  <c r="S99"/>
  <c r="T99"/>
  <c r="U99"/>
  <c r="B99"/>
  <c r="C98"/>
  <c r="C856" s="1"/>
  <c r="D98"/>
  <c r="D856" s="1"/>
  <c r="E98"/>
  <c r="E856" s="1"/>
  <c r="F98"/>
  <c r="F856" s="1"/>
  <c r="G98"/>
  <c r="G856" s="1"/>
  <c r="H98"/>
  <c r="H856" s="1"/>
  <c r="I98"/>
  <c r="I856" s="1"/>
  <c r="J98"/>
  <c r="J856" s="1"/>
  <c r="K98"/>
  <c r="K856" s="1"/>
  <c r="L98"/>
  <c r="L856" s="1"/>
  <c r="M98"/>
  <c r="M856" s="1"/>
  <c r="N98"/>
  <c r="N856" s="1"/>
  <c r="O98"/>
  <c r="O856" s="1"/>
  <c r="P98"/>
  <c r="P856" s="1"/>
  <c r="Q98"/>
  <c r="Q856" s="1"/>
  <c r="R98"/>
  <c r="R856" s="1"/>
  <c r="S98"/>
  <c r="S856" s="1"/>
  <c r="T98"/>
  <c r="T856" s="1"/>
  <c r="U98"/>
  <c r="U856" s="1"/>
  <c r="B98"/>
  <c r="B856" s="1"/>
  <c r="C97"/>
  <c r="D97"/>
  <c r="E97"/>
  <c r="E947" s="1"/>
  <c r="F97"/>
  <c r="G97"/>
  <c r="H97"/>
  <c r="H947" s="1"/>
  <c r="I97"/>
  <c r="J97"/>
  <c r="K97"/>
  <c r="K947" s="1"/>
  <c r="L97"/>
  <c r="M97"/>
  <c r="N97"/>
  <c r="N947" s="1"/>
  <c r="O97"/>
  <c r="P97"/>
  <c r="Q97"/>
  <c r="Q947" s="1"/>
  <c r="R97"/>
  <c r="S97"/>
  <c r="T97"/>
  <c r="T947" s="1"/>
  <c r="U97"/>
  <c r="B97"/>
  <c r="C96"/>
  <c r="C125" s="1"/>
  <c r="D96"/>
  <c r="D125" s="1"/>
  <c r="E96"/>
  <c r="F96"/>
  <c r="F125" s="1"/>
  <c r="G96"/>
  <c r="G125" s="1"/>
  <c r="H96"/>
  <c r="I96"/>
  <c r="I125" s="1"/>
  <c r="J96"/>
  <c r="J125" s="1"/>
  <c r="K96"/>
  <c r="L96"/>
  <c r="L125" s="1"/>
  <c r="M96"/>
  <c r="M125" s="1"/>
  <c r="N96"/>
  <c r="O96"/>
  <c r="O125" s="1"/>
  <c r="P96"/>
  <c r="P125" s="1"/>
  <c r="Q96"/>
  <c r="R96"/>
  <c r="R125" s="1"/>
  <c r="S96"/>
  <c r="S125" s="1"/>
  <c r="T96"/>
  <c r="U96"/>
  <c r="U125" s="1"/>
  <c r="B96"/>
  <c r="K26"/>
  <c r="K58" s="1"/>
  <c r="F25"/>
  <c r="C25"/>
  <c r="B168" i="9"/>
  <c r="B169" s="1"/>
  <c r="K21" i="4"/>
  <c r="K156" s="1"/>
  <c r="F20"/>
  <c r="C20"/>
  <c r="B16"/>
  <c r="B163" s="1"/>
  <c r="T15"/>
  <c r="T135" s="1"/>
  <c r="O15"/>
  <c r="J15"/>
  <c r="E15"/>
  <c r="E135" s="1"/>
  <c r="B14"/>
  <c r="D18" i="8"/>
  <c r="D68"/>
  <c r="D75"/>
  <c r="F142" i="4" l="1"/>
  <c r="C126" i="13"/>
  <c r="E126"/>
  <c r="M126"/>
  <c r="U126"/>
  <c r="J126"/>
  <c r="R126"/>
  <c r="K126"/>
  <c r="S126"/>
  <c r="H126"/>
  <c r="P126"/>
  <c r="I126"/>
  <c r="Q126"/>
  <c r="F126"/>
  <c r="N126"/>
  <c r="B126"/>
  <c r="G126"/>
  <c r="O126"/>
  <c r="D126"/>
  <c r="L126"/>
  <c r="T126"/>
  <c r="O135" i="4"/>
  <c r="B191"/>
  <c r="J135"/>
  <c r="C142"/>
  <c r="E58" i="13"/>
  <c r="M58"/>
  <c r="U58"/>
  <c r="R58"/>
  <c r="G58"/>
  <c r="D58"/>
  <c r="L58"/>
  <c r="T58"/>
  <c r="I58"/>
  <c r="Q58"/>
  <c r="N58"/>
  <c r="B58"/>
  <c r="S58"/>
  <c r="H58"/>
  <c r="P58"/>
  <c r="C58"/>
  <c r="F58"/>
  <c r="J250" i="10"/>
  <c r="J253"/>
  <c r="J252"/>
  <c r="H250"/>
  <c r="T933" i="13"/>
  <c r="N933"/>
  <c r="H933"/>
  <c r="B919"/>
  <c r="T919"/>
  <c r="R919"/>
  <c r="R920" s="1"/>
  <c r="R922" s="1"/>
  <c r="P919"/>
  <c r="P920" s="1"/>
  <c r="P922" s="1"/>
  <c r="N919"/>
  <c r="L919"/>
  <c r="L920" s="1"/>
  <c r="L922" s="1"/>
  <c r="J919"/>
  <c r="J920" s="1"/>
  <c r="J922" s="1"/>
  <c r="H919"/>
  <c r="F919"/>
  <c r="F920" s="1"/>
  <c r="F922" s="1"/>
  <c r="D919"/>
  <c r="D920" s="1"/>
  <c r="D922" s="1"/>
  <c r="Q933"/>
  <c r="K933"/>
  <c r="E933"/>
  <c r="U919"/>
  <c r="S919"/>
  <c r="Q919"/>
  <c r="O919"/>
  <c r="O920" s="1"/>
  <c r="O922" s="1"/>
  <c r="M919"/>
  <c r="M920" s="1"/>
  <c r="M922" s="1"/>
  <c r="K919"/>
  <c r="I919"/>
  <c r="G919"/>
  <c r="E919"/>
  <c r="C919"/>
  <c r="C920" s="1"/>
  <c r="C922" s="1"/>
  <c r="B947"/>
  <c r="R947"/>
  <c r="R948" s="1"/>
  <c r="R950" s="1"/>
  <c r="P947"/>
  <c r="P948" s="1"/>
  <c r="P950" s="1"/>
  <c r="L947"/>
  <c r="L948" s="1"/>
  <c r="L950" s="1"/>
  <c r="J947"/>
  <c r="J948" s="1"/>
  <c r="J950" s="1"/>
  <c r="F947"/>
  <c r="F948" s="1"/>
  <c r="F950" s="1"/>
  <c r="D947"/>
  <c r="D948" s="1"/>
  <c r="D950" s="1"/>
  <c r="B933"/>
  <c r="R933"/>
  <c r="R934" s="1"/>
  <c r="R936" s="1"/>
  <c r="P933"/>
  <c r="P934" s="1"/>
  <c r="P936" s="1"/>
  <c r="L933"/>
  <c r="L934" s="1"/>
  <c r="L936" s="1"/>
  <c r="J933"/>
  <c r="J934" s="1"/>
  <c r="J936" s="1"/>
  <c r="F933"/>
  <c r="F934" s="1"/>
  <c r="F936" s="1"/>
  <c r="D933"/>
  <c r="D934" s="1"/>
  <c r="D936" s="1"/>
  <c r="B1024"/>
  <c r="B961"/>
  <c r="T1024"/>
  <c r="T961"/>
  <c r="R1024"/>
  <c r="R1025" s="1"/>
  <c r="R1027" s="1"/>
  <c r="R961"/>
  <c r="R962" s="1"/>
  <c r="R964" s="1"/>
  <c r="P1024"/>
  <c r="P1025" s="1"/>
  <c r="P1027" s="1"/>
  <c r="P961"/>
  <c r="P962" s="1"/>
  <c r="P964" s="1"/>
  <c r="N1024"/>
  <c r="N961"/>
  <c r="L1024"/>
  <c r="L1025" s="1"/>
  <c r="L1027" s="1"/>
  <c r="L961"/>
  <c r="L962" s="1"/>
  <c r="L964" s="1"/>
  <c r="J1024"/>
  <c r="J1025" s="1"/>
  <c r="J1027" s="1"/>
  <c r="J961"/>
  <c r="J962" s="1"/>
  <c r="J964" s="1"/>
  <c r="H1024"/>
  <c r="H961"/>
  <c r="F1024"/>
  <c r="F1025" s="1"/>
  <c r="F1027" s="1"/>
  <c r="F961"/>
  <c r="F962" s="1"/>
  <c r="F964" s="1"/>
  <c r="D1024"/>
  <c r="D1025" s="1"/>
  <c r="D1027" s="1"/>
  <c r="D961"/>
  <c r="D962" s="1"/>
  <c r="D964" s="1"/>
  <c r="B884"/>
  <c r="R884"/>
  <c r="R885" s="1"/>
  <c r="R887" s="1"/>
  <c r="P884"/>
  <c r="P885" s="1"/>
  <c r="P887" s="1"/>
  <c r="L884"/>
  <c r="L885" s="1"/>
  <c r="L887" s="1"/>
  <c r="J884"/>
  <c r="J885" s="1"/>
  <c r="J887" s="1"/>
  <c r="F884"/>
  <c r="F885" s="1"/>
  <c r="F887" s="1"/>
  <c r="D884"/>
  <c r="D885" s="1"/>
  <c r="D887" s="1"/>
  <c r="B989"/>
  <c r="R989"/>
  <c r="R990" s="1"/>
  <c r="R992" s="1"/>
  <c r="P989"/>
  <c r="P990" s="1"/>
  <c r="P992" s="1"/>
  <c r="L989"/>
  <c r="L990" s="1"/>
  <c r="L992" s="1"/>
  <c r="J989"/>
  <c r="J990" s="1"/>
  <c r="J992" s="1"/>
  <c r="F989"/>
  <c r="F990" s="1"/>
  <c r="F992" s="1"/>
  <c r="D989"/>
  <c r="D990" s="1"/>
  <c r="D992" s="1"/>
  <c r="B828"/>
  <c r="R828"/>
  <c r="R829" s="1"/>
  <c r="R831" s="1"/>
  <c r="P828"/>
  <c r="P829" s="1"/>
  <c r="P831" s="1"/>
  <c r="L828"/>
  <c r="L829" s="1"/>
  <c r="L831" s="1"/>
  <c r="J828"/>
  <c r="J829" s="1"/>
  <c r="J831" s="1"/>
  <c r="F828"/>
  <c r="F829" s="1"/>
  <c r="F831" s="1"/>
  <c r="D828"/>
  <c r="D829" s="1"/>
  <c r="D831" s="1"/>
  <c r="B898"/>
  <c r="R898"/>
  <c r="R899" s="1"/>
  <c r="R901" s="1"/>
  <c r="P898"/>
  <c r="P899" s="1"/>
  <c r="P901" s="1"/>
  <c r="L898"/>
  <c r="L899" s="1"/>
  <c r="L901" s="1"/>
  <c r="J898"/>
  <c r="J899" s="1"/>
  <c r="J901" s="1"/>
  <c r="F898"/>
  <c r="F899" s="1"/>
  <c r="F901" s="1"/>
  <c r="D898"/>
  <c r="D899" s="1"/>
  <c r="D901" s="1"/>
  <c r="R836"/>
  <c r="R838" s="1"/>
  <c r="P836"/>
  <c r="P838" s="1"/>
  <c r="L836"/>
  <c r="L838" s="1"/>
  <c r="J836"/>
  <c r="J838" s="1"/>
  <c r="F836"/>
  <c r="F838" s="1"/>
  <c r="D836"/>
  <c r="D838" s="1"/>
  <c r="U947"/>
  <c r="U948" s="1"/>
  <c r="U950" s="1"/>
  <c r="S947"/>
  <c r="S948" s="1"/>
  <c r="S950" s="1"/>
  <c r="O947"/>
  <c r="O948" s="1"/>
  <c r="O950" s="1"/>
  <c r="M947"/>
  <c r="M948" s="1"/>
  <c r="M950" s="1"/>
  <c r="I947"/>
  <c r="I948" s="1"/>
  <c r="I950" s="1"/>
  <c r="G947"/>
  <c r="G948" s="1"/>
  <c r="G950" s="1"/>
  <c r="C947"/>
  <c r="C948" s="1"/>
  <c r="C950" s="1"/>
  <c r="U933"/>
  <c r="U934" s="1"/>
  <c r="U936" s="1"/>
  <c r="S933"/>
  <c r="S934" s="1"/>
  <c r="S936" s="1"/>
  <c r="O933"/>
  <c r="O934" s="1"/>
  <c r="O936" s="1"/>
  <c r="M933"/>
  <c r="M934" s="1"/>
  <c r="M936" s="1"/>
  <c r="I933"/>
  <c r="I934" s="1"/>
  <c r="I936" s="1"/>
  <c r="G933"/>
  <c r="G934" s="1"/>
  <c r="G936" s="1"/>
  <c r="C933"/>
  <c r="C934" s="1"/>
  <c r="C936" s="1"/>
  <c r="U1024"/>
  <c r="U1025" s="1"/>
  <c r="U1027" s="1"/>
  <c r="U961"/>
  <c r="U962" s="1"/>
  <c r="U964" s="1"/>
  <c r="S1024"/>
  <c r="S1025" s="1"/>
  <c r="S1027" s="1"/>
  <c r="S961"/>
  <c r="Q1024"/>
  <c r="Q961"/>
  <c r="O1024"/>
  <c r="O1025" s="1"/>
  <c r="O1027" s="1"/>
  <c r="O961"/>
  <c r="O962" s="1"/>
  <c r="O964" s="1"/>
  <c r="M1024"/>
  <c r="M1025" s="1"/>
  <c r="M1027" s="1"/>
  <c r="M961"/>
  <c r="M962" s="1"/>
  <c r="M964" s="1"/>
  <c r="K1024"/>
  <c r="K961"/>
  <c r="I1024"/>
  <c r="I1025" s="1"/>
  <c r="I1027" s="1"/>
  <c r="I961"/>
  <c r="I962" s="1"/>
  <c r="I964" s="1"/>
  <c r="G1024"/>
  <c r="G1025" s="1"/>
  <c r="G1027" s="1"/>
  <c r="G961"/>
  <c r="G962" s="1"/>
  <c r="G964" s="1"/>
  <c r="E1024"/>
  <c r="E961"/>
  <c r="C1024"/>
  <c r="C1025" s="1"/>
  <c r="C1027" s="1"/>
  <c r="C961"/>
  <c r="C962" s="1"/>
  <c r="C964" s="1"/>
  <c r="U884"/>
  <c r="U885" s="1"/>
  <c r="U887" s="1"/>
  <c r="S884"/>
  <c r="S885" s="1"/>
  <c r="S887" s="1"/>
  <c r="O884"/>
  <c r="O885" s="1"/>
  <c r="O887" s="1"/>
  <c r="M884"/>
  <c r="M885" s="1"/>
  <c r="M887" s="1"/>
  <c r="I884"/>
  <c r="I885" s="1"/>
  <c r="I887" s="1"/>
  <c r="G884"/>
  <c r="G885" s="1"/>
  <c r="G887" s="1"/>
  <c r="C884"/>
  <c r="C885" s="1"/>
  <c r="C887" s="1"/>
  <c r="U989"/>
  <c r="U990" s="1"/>
  <c r="U992" s="1"/>
  <c r="S989"/>
  <c r="S990" s="1"/>
  <c r="S992" s="1"/>
  <c r="O989"/>
  <c r="O990" s="1"/>
  <c r="O992" s="1"/>
  <c r="M989"/>
  <c r="M990" s="1"/>
  <c r="M992" s="1"/>
  <c r="I989"/>
  <c r="I990" s="1"/>
  <c r="I992" s="1"/>
  <c r="G989"/>
  <c r="G990" s="1"/>
  <c r="G992" s="1"/>
  <c r="C989"/>
  <c r="C990" s="1"/>
  <c r="C992" s="1"/>
  <c r="U828"/>
  <c r="U829" s="1"/>
  <c r="U831" s="1"/>
  <c r="S828"/>
  <c r="S829" s="1"/>
  <c r="S831" s="1"/>
  <c r="O828"/>
  <c r="O829" s="1"/>
  <c r="O831" s="1"/>
  <c r="M828"/>
  <c r="M829" s="1"/>
  <c r="M831" s="1"/>
  <c r="I828"/>
  <c r="I829" s="1"/>
  <c r="I831" s="1"/>
  <c r="G828"/>
  <c r="G829" s="1"/>
  <c r="G831" s="1"/>
  <c r="C828"/>
  <c r="C829" s="1"/>
  <c r="C831" s="1"/>
  <c r="U898"/>
  <c r="U899" s="1"/>
  <c r="U901" s="1"/>
  <c r="S898"/>
  <c r="S899" s="1"/>
  <c r="S901" s="1"/>
  <c r="O898"/>
  <c r="O899" s="1"/>
  <c r="O901" s="1"/>
  <c r="M898"/>
  <c r="M899" s="1"/>
  <c r="M901" s="1"/>
  <c r="I898"/>
  <c r="I899" s="1"/>
  <c r="I901" s="1"/>
  <c r="G898"/>
  <c r="G899" s="1"/>
  <c r="G901" s="1"/>
  <c r="C898"/>
  <c r="C899" s="1"/>
  <c r="C901" s="1"/>
  <c r="U836"/>
  <c r="U838" s="1"/>
  <c r="S836"/>
  <c r="S838" s="1"/>
  <c r="O836"/>
  <c r="O838" s="1"/>
  <c r="M836"/>
  <c r="M838" s="1"/>
  <c r="I836"/>
  <c r="I838" s="1"/>
  <c r="G836"/>
  <c r="G838" s="1"/>
  <c r="C836"/>
  <c r="C838" s="1"/>
  <c r="F430"/>
  <c r="V856"/>
  <c r="W856" s="1"/>
  <c r="R857"/>
  <c r="R859" s="1"/>
  <c r="P857"/>
  <c r="P859" s="1"/>
  <c r="L857"/>
  <c r="L859" s="1"/>
  <c r="J857"/>
  <c r="J859" s="1"/>
  <c r="F857"/>
  <c r="F859" s="1"/>
  <c r="D857"/>
  <c r="D859" s="1"/>
  <c r="B1010"/>
  <c r="R1010"/>
  <c r="R1011" s="1"/>
  <c r="R1013" s="1"/>
  <c r="P1010"/>
  <c r="P1011" s="1"/>
  <c r="P1013" s="1"/>
  <c r="L1010"/>
  <c r="L1011" s="1"/>
  <c r="L1013" s="1"/>
  <c r="J1010"/>
  <c r="J1011" s="1"/>
  <c r="J1013" s="1"/>
  <c r="F1010"/>
  <c r="F1011" s="1"/>
  <c r="F1013" s="1"/>
  <c r="D1010"/>
  <c r="D1011" s="1"/>
  <c r="D1013" s="1"/>
  <c r="V1017"/>
  <c r="W1017" s="1"/>
  <c r="B1018"/>
  <c r="V870"/>
  <c r="W870" s="1"/>
  <c r="R871"/>
  <c r="R873" s="1"/>
  <c r="P871"/>
  <c r="P873" s="1"/>
  <c r="L871"/>
  <c r="L873" s="1"/>
  <c r="J871"/>
  <c r="J873" s="1"/>
  <c r="F871"/>
  <c r="F873" s="1"/>
  <c r="D871"/>
  <c r="D873" s="1"/>
  <c r="V891"/>
  <c r="W891" s="1"/>
  <c r="R892"/>
  <c r="R894" s="1"/>
  <c r="P892"/>
  <c r="P894" s="1"/>
  <c r="L892"/>
  <c r="L894" s="1"/>
  <c r="J892"/>
  <c r="J894" s="1"/>
  <c r="F892"/>
  <c r="F894" s="1"/>
  <c r="D892"/>
  <c r="D894" s="1"/>
  <c r="C430"/>
  <c r="K472"/>
  <c r="U857"/>
  <c r="U859" s="1"/>
  <c r="S857"/>
  <c r="S859" s="1"/>
  <c r="O857"/>
  <c r="O859" s="1"/>
  <c r="M857"/>
  <c r="M859" s="1"/>
  <c r="I857"/>
  <c r="I859" s="1"/>
  <c r="G857"/>
  <c r="G859" s="1"/>
  <c r="C857"/>
  <c r="C859" s="1"/>
  <c r="S962"/>
  <c r="S964" s="1"/>
  <c r="U1010"/>
  <c r="U1011" s="1"/>
  <c r="U1013" s="1"/>
  <c r="S1010"/>
  <c r="S1011" s="1"/>
  <c r="S1013" s="1"/>
  <c r="O1010"/>
  <c r="O1011" s="1"/>
  <c r="O1013" s="1"/>
  <c r="M1010"/>
  <c r="M1011" s="1"/>
  <c r="M1013" s="1"/>
  <c r="I1010"/>
  <c r="I1011" s="1"/>
  <c r="I1013" s="1"/>
  <c r="G1010"/>
  <c r="G1011" s="1"/>
  <c r="G1013" s="1"/>
  <c r="C1010"/>
  <c r="C1011" s="1"/>
  <c r="C1013" s="1"/>
  <c r="U871"/>
  <c r="U873" s="1"/>
  <c r="S871"/>
  <c r="S873" s="1"/>
  <c r="O871"/>
  <c r="O873" s="1"/>
  <c r="M871"/>
  <c r="M873" s="1"/>
  <c r="I871"/>
  <c r="I873" s="1"/>
  <c r="G871"/>
  <c r="G873" s="1"/>
  <c r="C871"/>
  <c r="C873" s="1"/>
  <c r="U892"/>
  <c r="U894" s="1"/>
  <c r="S892"/>
  <c r="S894" s="1"/>
  <c r="O892"/>
  <c r="O894" s="1"/>
  <c r="M892"/>
  <c r="M894" s="1"/>
  <c r="I892"/>
  <c r="I894" s="1"/>
  <c r="G892"/>
  <c r="G894" s="1"/>
  <c r="C892"/>
  <c r="C894" s="1"/>
  <c r="H252" i="10"/>
  <c r="J251"/>
  <c r="K39" i="14"/>
  <c r="AI39"/>
  <c r="W39"/>
  <c r="H253" i="10"/>
  <c r="H251"/>
  <c r="E39" i="14"/>
  <c r="Q39"/>
  <c r="AC39"/>
  <c r="B247" i="10"/>
  <c r="D12" i="14" s="1"/>
  <c r="I253" i="10"/>
  <c r="I251"/>
  <c r="D39" i="14"/>
  <c r="J39"/>
  <c r="P39"/>
  <c r="V39"/>
  <c r="AB39"/>
  <c r="AH39"/>
  <c r="J137" i="4"/>
  <c r="J139" s="1"/>
  <c r="T137"/>
  <c r="T139" s="1"/>
  <c r="O137"/>
  <c r="O139" s="1"/>
  <c r="F144"/>
  <c r="F146" s="1"/>
  <c r="B193"/>
  <c r="C144"/>
  <c r="V142"/>
  <c r="W142" s="1"/>
  <c r="K158"/>
  <c r="V156"/>
  <c r="W156" s="1"/>
  <c r="E137"/>
  <c r="V135"/>
  <c r="W135" s="1"/>
  <c r="B165"/>
  <c r="V163"/>
  <c r="W163" s="1"/>
  <c r="F12" i="14"/>
  <c r="J12"/>
  <c r="N12"/>
  <c r="R12"/>
  <c r="V12"/>
  <c r="Z12"/>
  <c r="AD12"/>
  <c r="AH12"/>
  <c r="AL12"/>
  <c r="B12"/>
  <c r="I252" i="10"/>
  <c r="I250"/>
  <c r="C11" i="14"/>
  <c r="AN11"/>
  <c r="AL11"/>
  <c r="AJ11"/>
  <c r="AH11"/>
  <c r="AF11"/>
  <c r="AD11"/>
  <c r="AB11"/>
  <c r="Z11"/>
  <c r="X11"/>
  <c r="V11"/>
  <c r="T11"/>
  <c r="R11"/>
  <c r="P11"/>
  <c r="N11"/>
  <c r="L11"/>
  <c r="J11"/>
  <c r="H11"/>
  <c r="F11"/>
  <c r="AO11"/>
  <c r="AM11"/>
  <c r="AK11"/>
  <c r="AI11"/>
  <c r="AG11"/>
  <c r="AE11"/>
  <c r="AC11"/>
  <c r="AA11"/>
  <c r="Y11"/>
  <c r="W11"/>
  <c r="U11"/>
  <c r="S11"/>
  <c r="Q11"/>
  <c r="O11"/>
  <c r="M11"/>
  <c r="K11"/>
  <c r="I11"/>
  <c r="G11"/>
  <c r="AQ20"/>
  <c r="AS20" s="1"/>
  <c r="AQ21"/>
  <c r="AS21" s="1"/>
  <c r="AQ23"/>
  <c r="AS23" s="1"/>
  <c r="AQ24"/>
  <c r="AS24" s="1"/>
  <c r="AQ26"/>
  <c r="AS26" s="1"/>
  <c r="AQ27"/>
  <c r="AS27" s="1"/>
  <c r="AQ36"/>
  <c r="AS36" s="1"/>
  <c r="AQ37"/>
  <c r="AS37" s="1"/>
  <c r="AQ43"/>
  <c r="AS43" s="1"/>
  <c r="AQ47"/>
  <c r="AP20"/>
  <c r="AR20" s="1"/>
  <c r="AP21"/>
  <c r="AR21" s="1"/>
  <c r="AP23"/>
  <c r="AR23" s="1"/>
  <c r="AP24"/>
  <c r="AR24" s="1"/>
  <c r="AP26"/>
  <c r="AR26" s="1"/>
  <c r="AP27"/>
  <c r="AR27" s="1"/>
  <c r="AP36"/>
  <c r="AR36" s="1"/>
  <c r="AP37"/>
  <c r="AR37" s="1"/>
  <c r="AP43"/>
  <c r="AR43" s="1"/>
  <c r="AP47"/>
  <c r="C247" i="10" l="1"/>
  <c r="AN12" i="14"/>
  <c r="AJ12"/>
  <c r="AF12"/>
  <c r="AB12"/>
  <c r="X12"/>
  <c r="T12"/>
  <c r="P12"/>
  <c r="L12"/>
  <c r="H12"/>
  <c r="U920" i="13"/>
  <c r="U922" s="1"/>
  <c r="AP11" i="14"/>
  <c r="I920" i="13"/>
  <c r="I922" s="1"/>
  <c r="V1024"/>
  <c r="W1024" s="1"/>
  <c r="G920"/>
  <c r="G922" s="1"/>
  <c r="S920"/>
  <c r="S922" s="1"/>
  <c r="V961"/>
  <c r="W961" s="1"/>
  <c r="V919"/>
  <c r="W919" s="1"/>
  <c r="E12" i="14"/>
  <c r="I12"/>
  <c r="M12"/>
  <c r="Q12"/>
  <c r="U12"/>
  <c r="Y12"/>
  <c r="AG12"/>
  <c r="AO12"/>
  <c r="V835" i="13"/>
  <c r="W835" s="1"/>
  <c r="V828"/>
  <c r="W828" s="1"/>
  <c r="V884"/>
  <c r="W884" s="1"/>
  <c r="V947"/>
  <c r="W947" s="1"/>
  <c r="V898"/>
  <c r="W898" s="1"/>
  <c r="V989"/>
  <c r="W989" s="1"/>
  <c r="V933"/>
  <c r="W933" s="1"/>
  <c r="V472"/>
  <c r="W472" s="1"/>
  <c r="V430"/>
  <c r="W430" s="1"/>
  <c r="B1020"/>
  <c r="V1020" s="1"/>
  <c r="V1018"/>
  <c r="W1018" s="1"/>
  <c r="B1011"/>
  <c r="V1010"/>
  <c r="W1010" s="1"/>
  <c r="AP12" i="14"/>
  <c r="AR12" s="1"/>
  <c r="AA12"/>
  <c r="AE12"/>
  <c r="AI12"/>
  <c r="AM12"/>
  <c r="AR11"/>
  <c r="B167" i="4"/>
  <c r="V167" s="1"/>
  <c r="V165"/>
  <c r="W165" s="1"/>
  <c r="E139"/>
  <c r="V139" s="1"/>
  <c r="V137"/>
  <c r="W137" s="1"/>
  <c r="K160"/>
  <c r="V160" s="1"/>
  <c r="V158"/>
  <c r="W158" s="1"/>
  <c r="C146"/>
  <c r="V146" s="1"/>
  <c r="V144"/>
  <c r="W144" s="1"/>
  <c r="B195"/>
  <c r="AQ11" i="14"/>
  <c r="AS11" s="1"/>
  <c r="C45"/>
  <c r="C44"/>
  <c r="D44"/>
  <c r="E44"/>
  <c r="H44"/>
  <c r="I44"/>
  <c r="J44"/>
  <c r="K44"/>
  <c r="L44"/>
  <c r="M44"/>
  <c r="N44"/>
  <c r="O44"/>
  <c r="P44"/>
  <c r="Q44"/>
  <c r="R44"/>
  <c r="S44"/>
  <c r="T44"/>
  <c r="U44"/>
  <c r="V44"/>
  <c r="W44"/>
  <c r="X44"/>
  <c r="Y44"/>
  <c r="Z44"/>
  <c r="AA44"/>
  <c r="AB44"/>
  <c r="AC44"/>
  <c r="AD44"/>
  <c r="AE44"/>
  <c r="AF44"/>
  <c r="AG44"/>
  <c r="AH44"/>
  <c r="AI44"/>
  <c r="AJ44"/>
  <c r="AK44"/>
  <c r="AL44"/>
  <c r="AM44"/>
  <c r="AN44"/>
  <c r="AO44"/>
  <c r="E25"/>
  <c r="G18"/>
  <c r="AQ18" s="1"/>
  <c r="AS18" s="1"/>
  <c r="F18"/>
  <c r="AP18" s="1"/>
  <c r="AR18" s="1"/>
  <c r="C12" l="1"/>
  <c r="AC12"/>
  <c r="S12"/>
  <c r="K12"/>
  <c r="AK12"/>
  <c r="W12"/>
  <c r="O12"/>
  <c r="G12"/>
  <c r="AQ12" s="1"/>
  <c r="AS12" s="1"/>
  <c r="V1011" i="13"/>
  <c r="W1011" s="1"/>
  <c r="B1013"/>
  <c r="V1013" s="1"/>
  <c r="AN41" i="14"/>
  <c r="AL41"/>
  <c r="AJ41"/>
  <c r="AH41"/>
  <c r="AF41"/>
  <c r="AD41"/>
  <c r="AB41"/>
  <c r="Z41"/>
  <c r="X41"/>
  <c r="V41"/>
  <c r="T41"/>
  <c r="R41"/>
  <c r="P41"/>
  <c r="N41"/>
  <c r="L41"/>
  <c r="J41"/>
  <c r="H41"/>
  <c r="F41"/>
  <c r="D41"/>
  <c r="AN34"/>
  <c r="AL34"/>
  <c r="AJ34"/>
  <c r="AH34"/>
  <c r="AF34"/>
  <c r="AD34"/>
  <c r="AB34"/>
  <c r="Z34"/>
  <c r="X34"/>
  <c r="V34"/>
  <c r="T34"/>
  <c r="R34"/>
  <c r="P34"/>
  <c r="N34"/>
  <c r="L34"/>
  <c r="J34"/>
  <c r="H34"/>
  <c r="F34"/>
  <c r="D34"/>
  <c r="AN33"/>
  <c r="AL33"/>
  <c r="AJ33"/>
  <c r="AH33"/>
  <c r="AF33"/>
  <c r="AD33"/>
  <c r="AB33"/>
  <c r="Z33"/>
  <c r="X33"/>
  <c r="V33"/>
  <c r="T33"/>
  <c r="R33"/>
  <c r="P33"/>
  <c r="N33"/>
  <c r="L33"/>
  <c r="J33"/>
  <c r="H33"/>
  <c r="F33"/>
  <c r="D33"/>
  <c r="AN32"/>
  <c r="AL32"/>
  <c r="AJ32"/>
  <c r="AH32"/>
  <c r="AF32"/>
  <c r="AD32"/>
  <c r="AB32"/>
  <c r="Z32"/>
  <c r="X32"/>
  <c r="V32"/>
  <c r="T32"/>
  <c r="R32"/>
  <c r="P32"/>
  <c r="N32"/>
  <c r="L32"/>
  <c r="J32"/>
  <c r="H32"/>
  <c r="F32"/>
  <c r="D32"/>
  <c r="AN31"/>
  <c r="AL31"/>
  <c r="AJ31"/>
  <c r="AH31"/>
  <c r="AF31"/>
  <c r="AD31"/>
  <c r="AB31"/>
  <c r="Z31"/>
  <c r="X31"/>
  <c r="V31"/>
  <c r="T31"/>
  <c r="R31"/>
  <c r="P31"/>
  <c r="N31"/>
  <c r="L31"/>
  <c r="J31"/>
  <c r="H31"/>
  <c r="F31"/>
  <c r="E31"/>
  <c r="AN29"/>
  <c r="AL29"/>
  <c r="AJ29"/>
  <c r="AH29"/>
  <c r="AF29"/>
  <c r="AD29"/>
  <c r="AB29"/>
  <c r="Z29"/>
  <c r="X29"/>
  <c r="V29"/>
  <c r="T29"/>
  <c r="R29"/>
  <c r="P29"/>
  <c r="N29"/>
  <c r="L29"/>
  <c r="J29"/>
  <c r="H29"/>
  <c r="F29"/>
  <c r="D29"/>
  <c r="AN28"/>
  <c r="AL28"/>
  <c r="AJ28"/>
  <c r="AH28"/>
  <c r="AF28"/>
  <c r="AD28"/>
  <c r="AB28"/>
  <c r="Z28"/>
  <c r="X28"/>
  <c r="V28"/>
  <c r="T28"/>
  <c r="R28"/>
  <c r="P28"/>
  <c r="N28"/>
  <c r="L28"/>
  <c r="J28"/>
  <c r="H28"/>
  <c r="F28"/>
  <c r="D28"/>
  <c r="AO41"/>
  <c r="AM41"/>
  <c r="AK41"/>
  <c r="AI41"/>
  <c r="AG41"/>
  <c r="AE41"/>
  <c r="AC41"/>
  <c r="AA41"/>
  <c r="Y41"/>
  <c r="W41"/>
  <c r="U41"/>
  <c r="S41"/>
  <c r="Q41"/>
  <c r="O41"/>
  <c r="M41"/>
  <c r="K41"/>
  <c r="I41"/>
  <c r="G41"/>
  <c r="E41"/>
  <c r="AO34"/>
  <c r="AM34"/>
  <c r="AK34"/>
  <c r="AI34"/>
  <c r="AG34"/>
  <c r="AE34"/>
  <c r="AC34"/>
  <c r="AA34"/>
  <c r="Y34"/>
  <c r="W34"/>
  <c r="U34"/>
  <c r="S34"/>
  <c r="Q34"/>
  <c r="O34"/>
  <c r="M34"/>
  <c r="K34"/>
  <c r="I34"/>
  <c r="G34"/>
  <c r="E34"/>
  <c r="AO33"/>
  <c r="AM33"/>
  <c r="AK33"/>
  <c r="AI33"/>
  <c r="AG33"/>
  <c r="AE33"/>
  <c r="AC33"/>
  <c r="AA33"/>
  <c r="Y33"/>
  <c r="W33"/>
  <c r="U33"/>
  <c r="S33"/>
  <c r="Q33"/>
  <c r="O33"/>
  <c r="M33"/>
  <c r="K33"/>
  <c r="I33"/>
  <c r="G33"/>
  <c r="E33"/>
  <c r="AO32"/>
  <c r="AM32"/>
  <c r="AK32"/>
  <c r="AI32"/>
  <c r="AG32"/>
  <c r="AE32"/>
  <c r="AC32"/>
  <c r="AA32"/>
  <c r="Y32"/>
  <c r="W32"/>
  <c r="U32"/>
  <c r="S32"/>
  <c r="Q32"/>
  <c r="O32"/>
  <c r="M32"/>
  <c r="K32"/>
  <c r="I32"/>
  <c r="G32"/>
  <c r="E32"/>
  <c r="AO31"/>
  <c r="AM31"/>
  <c r="AK31"/>
  <c r="AI31"/>
  <c r="AG31"/>
  <c r="AE31"/>
  <c r="AC31"/>
  <c r="AA31"/>
  <c r="Y31"/>
  <c r="W31"/>
  <c r="U31"/>
  <c r="S31"/>
  <c r="Q31"/>
  <c r="O31"/>
  <c r="M31"/>
  <c r="K31"/>
  <c r="I31"/>
  <c r="G31"/>
  <c r="D31"/>
  <c r="AO29"/>
  <c r="AM29"/>
  <c r="AK29"/>
  <c r="AI29"/>
  <c r="AG29"/>
  <c r="AE29"/>
  <c r="AC29"/>
  <c r="AA29"/>
  <c r="Y29"/>
  <c r="W29"/>
  <c r="U29"/>
  <c r="S29"/>
  <c r="Q29"/>
  <c r="O29"/>
  <c r="M29"/>
  <c r="K29"/>
  <c r="I29"/>
  <c r="G29"/>
  <c r="E29"/>
  <c r="AO28"/>
  <c r="AM28"/>
  <c r="AK28"/>
  <c r="AI28"/>
  <c r="AG28"/>
  <c r="AE28"/>
  <c r="AC28"/>
  <c r="AA28"/>
  <c r="Y28"/>
  <c r="W28"/>
  <c r="U28"/>
  <c r="S28"/>
  <c r="Q28"/>
  <c r="O28"/>
  <c r="M28"/>
  <c r="K28"/>
  <c r="I28"/>
  <c r="G28"/>
  <c r="E28"/>
  <c r="V42"/>
  <c r="T42"/>
  <c r="R42"/>
  <c r="P42"/>
  <c r="N42"/>
  <c r="L42"/>
  <c r="J42"/>
  <c r="H42"/>
  <c r="F42"/>
  <c r="E42"/>
  <c r="AN40"/>
  <c r="AL40"/>
  <c r="AJ40"/>
  <c r="AH40"/>
  <c r="AF40"/>
  <c r="AD40"/>
  <c r="AB40"/>
  <c r="Z40"/>
  <c r="X40"/>
  <c r="V40"/>
  <c r="T40"/>
  <c r="R40"/>
  <c r="P40"/>
  <c r="N40"/>
  <c r="L40"/>
  <c r="J40"/>
  <c r="H40"/>
  <c r="F40"/>
  <c r="E40"/>
  <c r="AN38"/>
  <c r="AL38"/>
  <c r="AJ38"/>
  <c r="AH38"/>
  <c r="AF38"/>
  <c r="AD38"/>
  <c r="AB38"/>
  <c r="Z38"/>
  <c r="X38"/>
  <c r="V38"/>
  <c r="T38"/>
  <c r="R38"/>
  <c r="P38"/>
  <c r="N38"/>
  <c r="L38"/>
  <c r="J38"/>
  <c r="H38"/>
  <c r="F38"/>
  <c r="D38"/>
  <c r="AH35"/>
  <c r="Z35"/>
  <c r="R35"/>
  <c r="J35"/>
  <c r="W42"/>
  <c r="U42"/>
  <c r="S42"/>
  <c r="Q42"/>
  <c r="O42"/>
  <c r="M42"/>
  <c r="K42"/>
  <c r="I42"/>
  <c r="G42"/>
  <c r="D42"/>
  <c r="AO40"/>
  <c r="AM40"/>
  <c r="AK40"/>
  <c r="AI40"/>
  <c r="AG40"/>
  <c r="AE40"/>
  <c r="AC40"/>
  <c r="AA40"/>
  <c r="Y40"/>
  <c r="W40"/>
  <c r="U40"/>
  <c r="S40"/>
  <c r="Q40"/>
  <c r="O40"/>
  <c r="M40"/>
  <c r="K40"/>
  <c r="I40"/>
  <c r="G40"/>
  <c r="D40"/>
  <c r="AO38"/>
  <c r="AM38"/>
  <c r="AK38"/>
  <c r="AI38"/>
  <c r="AG38"/>
  <c r="AE38"/>
  <c r="AC38"/>
  <c r="AA38"/>
  <c r="Y38"/>
  <c r="W38"/>
  <c r="U38"/>
  <c r="S38"/>
  <c r="Q38"/>
  <c r="O38"/>
  <c r="M38"/>
  <c r="K38"/>
  <c r="I38"/>
  <c r="G38"/>
  <c r="E38"/>
  <c r="AI35"/>
  <c r="AA35"/>
  <c r="S35"/>
  <c r="K35"/>
  <c r="AN25"/>
  <c r="AL25"/>
  <c r="AJ25"/>
  <c r="AH25"/>
  <c r="AF25"/>
  <c r="AD25"/>
  <c r="AB25"/>
  <c r="Z25"/>
  <c r="X25"/>
  <c r="V25"/>
  <c r="T25"/>
  <c r="R25"/>
  <c r="P25"/>
  <c r="N25"/>
  <c r="L25"/>
  <c r="J25"/>
  <c r="H25"/>
  <c r="F25"/>
  <c r="AO25"/>
  <c r="AM25"/>
  <c r="AK25"/>
  <c r="AI25"/>
  <c r="AG25"/>
  <c r="AE25"/>
  <c r="AC25"/>
  <c r="AA25"/>
  <c r="Y25"/>
  <c r="W25"/>
  <c r="U25"/>
  <c r="S25"/>
  <c r="Q25"/>
  <c r="O25"/>
  <c r="M25"/>
  <c r="K25"/>
  <c r="I25"/>
  <c r="G25"/>
  <c r="AN30"/>
  <c r="AL30"/>
  <c r="AJ30"/>
  <c r="AH30"/>
  <c r="AF30"/>
  <c r="AD30"/>
  <c r="AB30"/>
  <c r="Z30"/>
  <c r="X30"/>
  <c r="V30"/>
  <c r="T30"/>
  <c r="R30"/>
  <c r="P30"/>
  <c r="N30"/>
  <c r="L30"/>
  <c r="J30"/>
  <c r="H30"/>
  <c r="F30"/>
  <c r="D30"/>
  <c r="AO30"/>
  <c r="AM30"/>
  <c r="AK30"/>
  <c r="AI30"/>
  <c r="AG30"/>
  <c r="AE30"/>
  <c r="AC30"/>
  <c r="AA30"/>
  <c r="Y30"/>
  <c r="W30"/>
  <c r="U30"/>
  <c r="S30"/>
  <c r="Q30"/>
  <c r="O30"/>
  <c r="M30"/>
  <c r="K30"/>
  <c r="I30"/>
  <c r="G30"/>
  <c r="E30"/>
  <c r="D25"/>
  <c r="B48"/>
  <c r="C46"/>
  <c r="D6"/>
  <c r="F6" s="1"/>
  <c r="H6" s="1"/>
  <c r="J6" s="1"/>
  <c r="L6" s="1"/>
  <c r="N6" s="1"/>
  <c r="P6" s="1"/>
  <c r="R6" s="1"/>
  <c r="T6" s="1"/>
  <c r="V6" s="1"/>
  <c r="X6" s="1"/>
  <c r="Z6" s="1"/>
  <c r="AB6" s="1"/>
  <c r="AD6" s="1"/>
  <c r="AF6" s="1"/>
  <c r="AH6" s="1"/>
  <c r="AJ6" s="1"/>
  <c r="AL6" s="1"/>
  <c r="AN6" s="1"/>
  <c r="AP25" l="1"/>
  <c r="AR25" s="1"/>
  <c r="AP30"/>
  <c r="AR30" s="1"/>
  <c r="AP40"/>
  <c r="AR40" s="1"/>
  <c r="AQ29"/>
  <c r="AS29" s="1"/>
  <c r="AQ32"/>
  <c r="AS32" s="1"/>
  <c r="AQ34"/>
  <c r="AS34" s="1"/>
  <c r="AP28"/>
  <c r="AR28" s="1"/>
  <c r="AP33"/>
  <c r="AR33" s="1"/>
  <c r="AP41"/>
  <c r="AR41" s="1"/>
  <c r="AQ25"/>
  <c r="AS25" s="1"/>
  <c r="C48"/>
  <c r="AQ30"/>
  <c r="AS30" s="1"/>
  <c r="AQ35"/>
  <c r="AS35" s="1"/>
  <c r="AQ38"/>
  <c r="AS38" s="1"/>
  <c r="AP42"/>
  <c r="AR42" s="1"/>
  <c r="AP35"/>
  <c r="AR35" s="1"/>
  <c r="AP38"/>
  <c r="AR38" s="1"/>
  <c r="AQ42"/>
  <c r="AS42" s="1"/>
  <c r="AQ28"/>
  <c r="AS28" s="1"/>
  <c r="AP31"/>
  <c r="AR31" s="1"/>
  <c r="AQ33"/>
  <c r="AS33" s="1"/>
  <c r="AQ41"/>
  <c r="AS41" s="1"/>
  <c r="AP29"/>
  <c r="AR29" s="1"/>
  <c r="AP32"/>
  <c r="AR32" s="1"/>
  <c r="AP34"/>
  <c r="AR34" s="1"/>
  <c r="AQ40"/>
  <c r="AS40" s="1"/>
  <c r="AQ31"/>
  <c r="AS31" s="1"/>
  <c r="G17"/>
  <c r="AQ17" s="1"/>
  <c r="AS17" s="1"/>
  <c r="F17"/>
  <c r="AP17" s="1"/>
  <c r="AR17" s="1"/>
  <c r="AN22" l="1"/>
  <c r="AL22"/>
  <c r="AJ22"/>
  <c r="AH22"/>
  <c r="AF22"/>
  <c r="AD22"/>
  <c r="AB22"/>
  <c r="Z22"/>
  <c r="X22"/>
  <c r="V22"/>
  <c r="T22"/>
  <c r="R22"/>
  <c r="P22"/>
  <c r="N22"/>
  <c r="L22"/>
  <c r="J22"/>
  <c r="H22"/>
  <c r="F22"/>
  <c r="D22"/>
  <c r="AO22"/>
  <c r="AM22"/>
  <c r="AK22"/>
  <c r="AI22"/>
  <c r="AG22"/>
  <c r="AE22"/>
  <c r="AC22"/>
  <c r="AA22"/>
  <c r="Y22"/>
  <c r="W22"/>
  <c r="U22"/>
  <c r="S22"/>
  <c r="Q22"/>
  <c r="O22"/>
  <c r="M22"/>
  <c r="K22"/>
  <c r="I22"/>
  <c r="G22"/>
  <c r="E22"/>
  <c r="AO19"/>
  <c r="AM19"/>
  <c r="AK19"/>
  <c r="AI19"/>
  <c r="AG19"/>
  <c r="AE19"/>
  <c r="AC19"/>
  <c r="AA19"/>
  <c r="Y19"/>
  <c r="W19"/>
  <c r="U19"/>
  <c r="S19"/>
  <c r="Q19"/>
  <c r="O19"/>
  <c r="K19"/>
  <c r="G19"/>
  <c r="AN19"/>
  <c r="AN45" s="1"/>
  <c r="AN46" s="1"/>
  <c r="AN48" s="1"/>
  <c r="AL19"/>
  <c r="AL45" s="1"/>
  <c r="AL46" s="1"/>
  <c r="AL48" s="1"/>
  <c r="AJ19"/>
  <c r="AJ45" s="1"/>
  <c r="AJ46" s="1"/>
  <c r="AJ48" s="1"/>
  <c r="AH19"/>
  <c r="AH45" s="1"/>
  <c r="AH46" s="1"/>
  <c r="AH48" s="1"/>
  <c r="AF19"/>
  <c r="AF45" s="1"/>
  <c r="AF46" s="1"/>
  <c r="AF48" s="1"/>
  <c r="AD19"/>
  <c r="AD45" s="1"/>
  <c r="AD46" s="1"/>
  <c r="AD48" s="1"/>
  <c r="AB19"/>
  <c r="AB45" s="1"/>
  <c r="AB46" s="1"/>
  <c r="AB48" s="1"/>
  <c r="Z19"/>
  <c r="Z45" s="1"/>
  <c r="Z46" s="1"/>
  <c r="Z48" s="1"/>
  <c r="X19"/>
  <c r="X45" s="1"/>
  <c r="X46" s="1"/>
  <c r="X48" s="1"/>
  <c r="V19"/>
  <c r="V45" s="1"/>
  <c r="V46" s="1"/>
  <c r="V48" s="1"/>
  <c r="T19"/>
  <c r="T45" s="1"/>
  <c r="T46" s="1"/>
  <c r="T48" s="1"/>
  <c r="R19"/>
  <c r="R45" s="1"/>
  <c r="R46" s="1"/>
  <c r="R48" s="1"/>
  <c r="P19"/>
  <c r="P45" s="1"/>
  <c r="P46" s="1"/>
  <c r="P48" s="1"/>
  <c r="N19"/>
  <c r="N45" s="1"/>
  <c r="N46" s="1"/>
  <c r="N48" s="1"/>
  <c r="L19"/>
  <c r="L45" s="1"/>
  <c r="L46" s="1"/>
  <c r="L48" s="1"/>
  <c r="J19"/>
  <c r="J45" s="1"/>
  <c r="J46" s="1"/>
  <c r="J48" s="1"/>
  <c r="H19"/>
  <c r="H45" s="1"/>
  <c r="H46" s="1"/>
  <c r="H48" s="1"/>
  <c r="F19"/>
  <c r="F45" s="1"/>
  <c r="D19"/>
  <c r="M19"/>
  <c r="M45" s="1"/>
  <c r="M46" s="1"/>
  <c r="M48" s="1"/>
  <c r="I19"/>
  <c r="E19"/>
  <c r="E45" s="1"/>
  <c r="AP39"/>
  <c r="AR39" s="1"/>
  <c r="AQ39"/>
  <c r="AS39" s="1"/>
  <c r="G16"/>
  <c r="AQ16" s="1"/>
  <c r="AS16" s="1"/>
  <c r="G15"/>
  <c r="G44" s="1"/>
  <c r="F16"/>
  <c r="AP16" s="1"/>
  <c r="AR16" s="1"/>
  <c r="F15"/>
  <c r="B103" i="4"/>
  <c r="T14"/>
  <c r="Q14"/>
  <c r="N14"/>
  <c r="K14"/>
  <c r="H14"/>
  <c r="E14"/>
  <c r="B95" i="8"/>
  <c r="B96" s="1"/>
  <c r="C73" i="4" s="1"/>
  <c r="C76" s="1"/>
  <c r="B85" i="8"/>
  <c r="C29" i="4" s="1"/>
  <c r="C32" s="1"/>
  <c r="C153" i="13"/>
  <c r="D153"/>
  <c r="E153"/>
  <c r="F153"/>
  <c r="G153"/>
  <c r="H153"/>
  <c r="I153"/>
  <c r="J153"/>
  <c r="K153"/>
  <c r="L153"/>
  <c r="M153"/>
  <c r="N153"/>
  <c r="O153"/>
  <c r="P153"/>
  <c r="Q153"/>
  <c r="R153"/>
  <c r="S153"/>
  <c r="T153"/>
  <c r="U153"/>
  <c r="B153"/>
  <c r="B812" s="1"/>
  <c r="C152"/>
  <c r="D152"/>
  <c r="E152"/>
  <c r="E756" s="1"/>
  <c r="F152"/>
  <c r="G152"/>
  <c r="H152"/>
  <c r="H756" s="1"/>
  <c r="I152"/>
  <c r="J152"/>
  <c r="K152"/>
  <c r="K756" s="1"/>
  <c r="L152"/>
  <c r="M152"/>
  <c r="N152"/>
  <c r="N756" s="1"/>
  <c r="O152"/>
  <c r="P152"/>
  <c r="Q152"/>
  <c r="Q756" s="1"/>
  <c r="R152"/>
  <c r="S152"/>
  <c r="T152"/>
  <c r="T756" s="1"/>
  <c r="U152"/>
  <c r="B152"/>
  <c r="B253" i="9"/>
  <c r="H191" i="4" l="1"/>
  <c r="H193" s="1"/>
  <c r="H195" s="1"/>
  <c r="N191"/>
  <c r="N193" s="1"/>
  <c r="N195" s="1"/>
  <c r="T191"/>
  <c r="T193" s="1"/>
  <c r="T195" s="1"/>
  <c r="E191"/>
  <c r="E193" s="1"/>
  <c r="K191"/>
  <c r="K193" s="1"/>
  <c r="K195" s="1"/>
  <c r="Q191"/>
  <c r="Q193" s="1"/>
  <c r="Q195" s="1"/>
  <c r="B201"/>
  <c r="G45" i="14"/>
  <c r="F44"/>
  <c r="AP44" s="1"/>
  <c r="AR44" s="1"/>
  <c r="U756" i="13"/>
  <c r="U757" s="1"/>
  <c r="U759" s="1"/>
  <c r="S756"/>
  <c r="S757" s="1"/>
  <c r="S759" s="1"/>
  <c r="O756"/>
  <c r="O757" s="1"/>
  <c r="O759" s="1"/>
  <c r="M756"/>
  <c r="M757" s="1"/>
  <c r="M759" s="1"/>
  <c r="I756"/>
  <c r="I757" s="1"/>
  <c r="I759" s="1"/>
  <c r="G756"/>
  <c r="G757" s="1"/>
  <c r="G759" s="1"/>
  <c r="C756"/>
  <c r="C757" s="1"/>
  <c r="C759" s="1"/>
  <c r="U812"/>
  <c r="U813" s="1"/>
  <c r="U815" s="1"/>
  <c r="S812"/>
  <c r="S813" s="1"/>
  <c r="S815" s="1"/>
  <c r="Q812"/>
  <c r="Q813" s="1"/>
  <c r="Q815" s="1"/>
  <c r="O812"/>
  <c r="O813" s="1"/>
  <c r="O815" s="1"/>
  <c r="M812"/>
  <c r="M813" s="1"/>
  <c r="M815" s="1"/>
  <c r="K812"/>
  <c r="K813" s="1"/>
  <c r="K815" s="1"/>
  <c r="I812"/>
  <c r="I813" s="1"/>
  <c r="I815" s="1"/>
  <c r="G812"/>
  <c r="G813" s="1"/>
  <c r="G815" s="1"/>
  <c r="E812"/>
  <c r="E813" s="1"/>
  <c r="E815" s="1"/>
  <c r="C812"/>
  <c r="C813" s="1"/>
  <c r="C815" s="1"/>
  <c r="B756"/>
  <c r="R756"/>
  <c r="R757" s="1"/>
  <c r="R759" s="1"/>
  <c r="P756"/>
  <c r="P757" s="1"/>
  <c r="P759" s="1"/>
  <c r="L756"/>
  <c r="L757" s="1"/>
  <c r="L759" s="1"/>
  <c r="J756"/>
  <c r="J757" s="1"/>
  <c r="J759" s="1"/>
  <c r="F756"/>
  <c r="F757" s="1"/>
  <c r="F759" s="1"/>
  <c r="D756"/>
  <c r="D757" s="1"/>
  <c r="D759" s="1"/>
  <c r="T812"/>
  <c r="T813" s="1"/>
  <c r="T815" s="1"/>
  <c r="R812"/>
  <c r="R813" s="1"/>
  <c r="R815" s="1"/>
  <c r="P812"/>
  <c r="P813" s="1"/>
  <c r="P815" s="1"/>
  <c r="N812"/>
  <c r="N813" s="1"/>
  <c r="N815" s="1"/>
  <c r="L812"/>
  <c r="L813" s="1"/>
  <c r="L815" s="1"/>
  <c r="J812"/>
  <c r="J813" s="1"/>
  <c r="J815" s="1"/>
  <c r="H812"/>
  <c r="H813" s="1"/>
  <c r="H815" s="1"/>
  <c r="F812"/>
  <c r="F813" s="1"/>
  <c r="F815" s="1"/>
  <c r="D812"/>
  <c r="D813" s="1"/>
  <c r="D815" s="1"/>
  <c r="B813"/>
  <c r="K45" i="14"/>
  <c r="K46" s="1"/>
  <c r="K48" s="1"/>
  <c r="V191" i="4"/>
  <c r="W191" s="1"/>
  <c r="B29"/>
  <c r="B32" s="1"/>
  <c r="T29"/>
  <c r="T32" s="1"/>
  <c r="R29"/>
  <c r="R32" s="1"/>
  <c r="P29"/>
  <c r="P32" s="1"/>
  <c r="N29"/>
  <c r="N32" s="1"/>
  <c r="L29"/>
  <c r="L32" s="1"/>
  <c r="J29"/>
  <c r="J32" s="1"/>
  <c r="H29"/>
  <c r="H32" s="1"/>
  <c r="F29"/>
  <c r="F32" s="1"/>
  <c r="D29"/>
  <c r="D32" s="1"/>
  <c r="B73"/>
  <c r="B76" s="1"/>
  <c r="T73"/>
  <c r="T76" s="1"/>
  <c r="R73"/>
  <c r="R76" s="1"/>
  <c r="P73"/>
  <c r="P76" s="1"/>
  <c r="N73"/>
  <c r="N76" s="1"/>
  <c r="L73"/>
  <c r="L76" s="1"/>
  <c r="J73"/>
  <c r="J76" s="1"/>
  <c r="H73"/>
  <c r="H76" s="1"/>
  <c r="F73"/>
  <c r="F76" s="1"/>
  <c r="D73"/>
  <c r="D76" s="1"/>
  <c r="U29"/>
  <c r="U32" s="1"/>
  <c r="S29"/>
  <c r="S32" s="1"/>
  <c r="Q29"/>
  <c r="Q32" s="1"/>
  <c r="O29"/>
  <c r="O32" s="1"/>
  <c r="M29"/>
  <c r="M32" s="1"/>
  <c r="K29"/>
  <c r="K32" s="1"/>
  <c r="I29"/>
  <c r="I32" s="1"/>
  <c r="G29"/>
  <c r="G32" s="1"/>
  <c r="E29"/>
  <c r="E32" s="1"/>
  <c r="U73"/>
  <c r="U76" s="1"/>
  <c r="S73"/>
  <c r="S76" s="1"/>
  <c r="Q73"/>
  <c r="Q76" s="1"/>
  <c r="O73"/>
  <c r="O76" s="1"/>
  <c r="M73"/>
  <c r="M76" s="1"/>
  <c r="K73"/>
  <c r="K76" s="1"/>
  <c r="I73"/>
  <c r="I76" s="1"/>
  <c r="G73"/>
  <c r="G76" s="1"/>
  <c r="E73"/>
  <c r="E76" s="1"/>
  <c r="O45" i="14"/>
  <c r="O46" s="1"/>
  <c r="O48" s="1"/>
  <c r="S45"/>
  <c r="S46" s="1"/>
  <c r="S48" s="1"/>
  <c r="W45"/>
  <c r="W46" s="1"/>
  <c r="W48" s="1"/>
  <c r="AA45"/>
  <c r="AA46" s="1"/>
  <c r="AA48" s="1"/>
  <c r="AE45"/>
  <c r="AE46" s="1"/>
  <c r="AE48" s="1"/>
  <c r="AI45"/>
  <c r="AI46" s="1"/>
  <c r="AI48" s="1"/>
  <c r="AM45"/>
  <c r="AM46" s="1"/>
  <c r="AM48" s="1"/>
  <c r="AQ22"/>
  <c r="AS22" s="1"/>
  <c r="AQ19"/>
  <c r="AS19" s="1"/>
  <c r="AP15"/>
  <c r="AR15" s="1"/>
  <c r="AQ15"/>
  <c r="AS15" s="1"/>
  <c r="AQ44"/>
  <c r="AS44" s="1"/>
  <c r="AP19"/>
  <c r="AR19" s="1"/>
  <c r="D45"/>
  <c r="I45"/>
  <c r="I46" s="1"/>
  <c r="I48" s="1"/>
  <c r="Q45"/>
  <c r="Q46" s="1"/>
  <c r="Q48" s="1"/>
  <c r="U45"/>
  <c r="U46" s="1"/>
  <c r="U48" s="1"/>
  <c r="Y45"/>
  <c r="Y46" s="1"/>
  <c r="Y48" s="1"/>
  <c r="AC45"/>
  <c r="AC46" s="1"/>
  <c r="AC48" s="1"/>
  <c r="AG45"/>
  <c r="AG46" s="1"/>
  <c r="AG48" s="1"/>
  <c r="AK45"/>
  <c r="AK46" s="1"/>
  <c r="AK48" s="1"/>
  <c r="AO45"/>
  <c r="AO46" s="1"/>
  <c r="AO48" s="1"/>
  <c r="AP22"/>
  <c r="AR22" s="1"/>
  <c r="V201" i="13"/>
  <c r="W201" s="1"/>
  <c r="V156"/>
  <c r="W156" s="1"/>
  <c r="V114"/>
  <c r="W114" s="1"/>
  <c r="V756" l="1"/>
  <c r="W756" s="1"/>
  <c r="V812"/>
  <c r="W812" s="1"/>
  <c r="B815"/>
  <c r="V815" s="1"/>
  <c r="V813"/>
  <c r="W813" s="1"/>
  <c r="V73" i="4"/>
  <c r="W73" s="1"/>
  <c r="E195"/>
  <c r="V195" s="1"/>
  <c r="V193"/>
  <c r="W193" s="1"/>
  <c r="V29"/>
  <c r="W29" s="1"/>
  <c r="G46" i="14"/>
  <c r="G48" s="1"/>
  <c r="F46"/>
  <c r="F48" s="1"/>
  <c r="AP45"/>
  <c r="AR45" s="1"/>
  <c r="D46"/>
  <c r="E46"/>
  <c r="AQ45"/>
  <c r="AS45" s="1"/>
  <c r="B159" i="9"/>
  <c r="C50" i="13" s="1"/>
  <c r="B29"/>
  <c r="B515" s="1"/>
  <c r="O15"/>
  <c r="J15"/>
  <c r="J58" l="1"/>
  <c r="O58"/>
  <c r="V493"/>
  <c r="W493" s="1"/>
  <c r="J437"/>
  <c r="J439" s="1"/>
  <c r="J441" s="1"/>
  <c r="O437"/>
  <c r="O439" s="1"/>
  <c r="O441" s="1"/>
  <c r="B516"/>
  <c r="V22"/>
  <c r="W22" s="1"/>
  <c r="V16"/>
  <c r="W16" s="1"/>
  <c r="V126"/>
  <c r="W126" s="1"/>
  <c r="E48" i="14"/>
  <c r="AQ48" s="1"/>
  <c r="AQ46"/>
  <c r="AS46" s="1"/>
  <c r="D48"/>
  <c r="AP48" s="1"/>
  <c r="AP46"/>
  <c r="AR46" s="1"/>
  <c r="T50" i="13"/>
  <c r="P50"/>
  <c r="L50"/>
  <c r="H50"/>
  <c r="D50"/>
  <c r="B50"/>
  <c r="R50"/>
  <c r="N50"/>
  <c r="J50"/>
  <c r="F50"/>
  <c r="U50"/>
  <c r="S50"/>
  <c r="Q50"/>
  <c r="O50"/>
  <c r="M50"/>
  <c r="K50"/>
  <c r="I50"/>
  <c r="G50"/>
  <c r="E50"/>
  <c r="B263" i="9"/>
  <c r="B265" s="1"/>
  <c r="B266" s="1"/>
  <c r="B260"/>
  <c r="B261" s="1"/>
  <c r="V58" i="13" l="1"/>
  <c r="W58" s="1"/>
  <c r="B518"/>
  <c r="B268" i="9"/>
  <c r="B271"/>
  <c r="V16" i="4" l="1"/>
  <c r="W16" s="1"/>
  <c r="D118" i="13"/>
  <c r="D124" s="1"/>
  <c r="D128" s="1"/>
  <c r="D134" s="1"/>
  <c r="D358" s="1"/>
  <c r="J118"/>
  <c r="J124" s="1"/>
  <c r="J128" s="1"/>
  <c r="J134" s="1"/>
  <c r="J358" s="1"/>
  <c r="N118"/>
  <c r="N124" s="1"/>
  <c r="N128" s="1"/>
  <c r="N134" s="1"/>
  <c r="N358" s="1"/>
  <c r="R118"/>
  <c r="R124" s="1"/>
  <c r="R128" s="1"/>
  <c r="R134" s="1"/>
  <c r="R358" s="1"/>
  <c r="B118"/>
  <c r="B124" s="1"/>
  <c r="B128" s="1"/>
  <c r="B134" s="1"/>
  <c r="B358" s="1"/>
  <c r="C118"/>
  <c r="C124" s="1"/>
  <c r="C128" s="1"/>
  <c r="C134" s="1"/>
  <c r="C358" s="1"/>
  <c r="E118"/>
  <c r="E124" s="1"/>
  <c r="E128" s="1"/>
  <c r="E134" s="1"/>
  <c r="E358" s="1"/>
  <c r="G118"/>
  <c r="G124" s="1"/>
  <c r="G128" s="1"/>
  <c r="G134" s="1"/>
  <c r="G358" s="1"/>
  <c r="I118"/>
  <c r="I124" s="1"/>
  <c r="I128" s="1"/>
  <c r="I134" s="1"/>
  <c r="I358" s="1"/>
  <c r="K118"/>
  <c r="K124" s="1"/>
  <c r="K128" s="1"/>
  <c r="K134" s="1"/>
  <c r="K358" s="1"/>
  <c r="M118"/>
  <c r="M124" s="1"/>
  <c r="M128" s="1"/>
  <c r="M134" s="1"/>
  <c r="M358" s="1"/>
  <c r="O118"/>
  <c r="O124" s="1"/>
  <c r="O128" s="1"/>
  <c r="O134" s="1"/>
  <c r="O358" s="1"/>
  <c r="Q118"/>
  <c r="Q124" s="1"/>
  <c r="Q128" s="1"/>
  <c r="Q134" s="1"/>
  <c r="Q358" s="1"/>
  <c r="S118"/>
  <c r="S124" s="1"/>
  <c r="S128" s="1"/>
  <c r="S134" s="1"/>
  <c r="S358" s="1"/>
  <c r="U118"/>
  <c r="U124" s="1"/>
  <c r="U128" s="1"/>
  <c r="U134" s="1"/>
  <c r="U358" s="1"/>
  <c r="F118"/>
  <c r="F124" s="1"/>
  <c r="F128" s="1"/>
  <c r="F134" s="1"/>
  <c r="F358" s="1"/>
  <c r="H118"/>
  <c r="H124" s="1"/>
  <c r="L118"/>
  <c r="L124" s="1"/>
  <c r="L128" s="1"/>
  <c r="L134" s="1"/>
  <c r="L358" s="1"/>
  <c r="P118"/>
  <c r="P124" s="1"/>
  <c r="P128" s="1"/>
  <c r="P134" s="1"/>
  <c r="P358" s="1"/>
  <c r="T118"/>
  <c r="T124" s="1"/>
  <c r="T128" s="1"/>
  <c r="T134" s="1"/>
  <c r="T358" s="1"/>
  <c r="D53"/>
  <c r="D56" s="1"/>
  <c r="F53"/>
  <c r="F56" s="1"/>
  <c r="H53"/>
  <c r="H56" s="1"/>
  <c r="J53"/>
  <c r="J56" s="1"/>
  <c r="L53"/>
  <c r="L56" s="1"/>
  <c r="N53"/>
  <c r="N56" s="1"/>
  <c r="P53"/>
  <c r="P56" s="1"/>
  <c r="R53"/>
  <c r="R56" s="1"/>
  <c r="T53"/>
  <c r="T56" s="1"/>
  <c r="B53"/>
  <c r="C53"/>
  <c r="C56" s="1"/>
  <c r="E53"/>
  <c r="E56" s="1"/>
  <c r="G53"/>
  <c r="G56" s="1"/>
  <c r="K53"/>
  <c r="K56" s="1"/>
  <c r="M53"/>
  <c r="M56" s="1"/>
  <c r="O53"/>
  <c r="O56" s="1"/>
  <c r="Q53"/>
  <c r="Q56" s="1"/>
  <c r="S53"/>
  <c r="S56" s="1"/>
  <c r="I53"/>
  <c r="I56" s="1"/>
  <c r="U53"/>
  <c r="U56" s="1"/>
  <c r="V21" i="4"/>
  <c r="W21" s="1"/>
  <c r="D494" i="13" l="1"/>
  <c r="C494"/>
  <c r="E494"/>
  <c r="G494"/>
  <c r="I494"/>
  <c r="K494"/>
  <c r="M494"/>
  <c r="O494"/>
  <c r="Q494"/>
  <c r="S494"/>
  <c r="U494"/>
  <c r="B494"/>
  <c r="B495" s="1"/>
  <c r="F494"/>
  <c r="H494"/>
  <c r="J494"/>
  <c r="L494"/>
  <c r="N494"/>
  <c r="P494"/>
  <c r="R494"/>
  <c r="T494"/>
  <c r="T263"/>
  <c r="L263"/>
  <c r="F263"/>
  <c r="S263"/>
  <c r="O263"/>
  <c r="K263"/>
  <c r="G263"/>
  <c r="C263"/>
  <c r="R263"/>
  <c r="J263"/>
  <c r="P263"/>
  <c r="U263"/>
  <c r="Q263"/>
  <c r="M263"/>
  <c r="I263"/>
  <c r="E263"/>
  <c r="B263"/>
  <c r="B271" s="1"/>
  <c r="N263"/>
  <c r="D263"/>
  <c r="I60"/>
  <c r="I66" s="1"/>
  <c r="I339" s="1"/>
  <c r="I347" s="1"/>
  <c r="I227"/>
  <c r="M60"/>
  <c r="M66" s="1"/>
  <c r="M339" s="1"/>
  <c r="M347" s="1"/>
  <c r="M227"/>
  <c r="U60"/>
  <c r="U66" s="1"/>
  <c r="U339" s="1"/>
  <c r="U347" s="1"/>
  <c r="U227"/>
  <c r="S60"/>
  <c r="S66" s="1"/>
  <c r="S339" s="1"/>
  <c r="S347" s="1"/>
  <c r="S227"/>
  <c r="O60"/>
  <c r="O66" s="1"/>
  <c r="O339" s="1"/>
  <c r="O347" s="1"/>
  <c r="O227"/>
  <c r="K60"/>
  <c r="K66" s="1"/>
  <c r="K339" s="1"/>
  <c r="K347" s="1"/>
  <c r="K227"/>
  <c r="E60"/>
  <c r="E66" s="1"/>
  <c r="E339" s="1"/>
  <c r="E347" s="1"/>
  <c r="E227"/>
  <c r="B56"/>
  <c r="B247"/>
  <c r="B250" s="1"/>
  <c r="R60"/>
  <c r="R66" s="1"/>
  <c r="R339" s="1"/>
  <c r="R347" s="1"/>
  <c r="R227"/>
  <c r="N60"/>
  <c r="N66" s="1"/>
  <c r="N339" s="1"/>
  <c r="N347" s="1"/>
  <c r="N227"/>
  <c r="J60"/>
  <c r="J66" s="1"/>
  <c r="J339" s="1"/>
  <c r="J347" s="1"/>
  <c r="J227"/>
  <c r="F60"/>
  <c r="F66" s="1"/>
  <c r="F339" s="1"/>
  <c r="F347" s="1"/>
  <c r="F227"/>
  <c r="Q60"/>
  <c r="Q66" s="1"/>
  <c r="Q339" s="1"/>
  <c r="Q347" s="1"/>
  <c r="Q227"/>
  <c r="G60"/>
  <c r="G66" s="1"/>
  <c r="G339" s="1"/>
  <c r="G347" s="1"/>
  <c r="G227"/>
  <c r="C60"/>
  <c r="C66" s="1"/>
  <c r="C339" s="1"/>
  <c r="C347" s="1"/>
  <c r="C227"/>
  <c r="T60"/>
  <c r="T66" s="1"/>
  <c r="T339" s="1"/>
  <c r="T347" s="1"/>
  <c r="T227"/>
  <c r="P60"/>
  <c r="P66" s="1"/>
  <c r="P339" s="1"/>
  <c r="P347" s="1"/>
  <c r="P227"/>
  <c r="L60"/>
  <c r="L66" s="1"/>
  <c r="L339" s="1"/>
  <c r="L347" s="1"/>
  <c r="L227"/>
  <c r="H60"/>
  <c r="H66" s="1"/>
  <c r="H339" s="1"/>
  <c r="H347" s="1"/>
  <c r="H227"/>
  <c r="D60"/>
  <c r="D66" s="1"/>
  <c r="D339" s="1"/>
  <c r="D347" s="1"/>
  <c r="D227"/>
  <c r="H128"/>
  <c r="H134" s="1"/>
  <c r="H358" s="1"/>
  <c r="V358" s="1"/>
  <c r="W358" s="1"/>
  <c r="I247"/>
  <c r="I250" s="1"/>
  <c r="I343"/>
  <c r="I349" s="1"/>
  <c r="M247"/>
  <c r="M250" s="1"/>
  <c r="M343"/>
  <c r="M349" s="1"/>
  <c r="C247"/>
  <c r="C250" s="1"/>
  <c r="C343"/>
  <c r="C349" s="1"/>
  <c r="P247"/>
  <c r="P250" s="1"/>
  <c r="P343"/>
  <c r="P349" s="1"/>
  <c r="H247"/>
  <c r="H250" s="1"/>
  <c r="H343"/>
  <c r="H349" s="1"/>
  <c r="U247"/>
  <c r="U250" s="1"/>
  <c r="U343"/>
  <c r="U349" s="1"/>
  <c r="S247"/>
  <c r="S250" s="1"/>
  <c r="S343"/>
  <c r="S349" s="1"/>
  <c r="O247"/>
  <c r="O250" s="1"/>
  <c r="O343"/>
  <c r="O349" s="1"/>
  <c r="K247"/>
  <c r="K250" s="1"/>
  <c r="K343"/>
  <c r="K349" s="1"/>
  <c r="E247"/>
  <c r="E250" s="1"/>
  <c r="E343"/>
  <c r="E349" s="1"/>
  <c r="B343"/>
  <c r="B349" s="1"/>
  <c r="R247"/>
  <c r="R250" s="1"/>
  <c r="R343"/>
  <c r="R349" s="1"/>
  <c r="N247"/>
  <c r="N250" s="1"/>
  <c r="N343"/>
  <c r="N349" s="1"/>
  <c r="J247"/>
  <c r="J250" s="1"/>
  <c r="J343"/>
  <c r="J349" s="1"/>
  <c r="F247"/>
  <c r="F250" s="1"/>
  <c r="F343"/>
  <c r="F349" s="1"/>
  <c r="Q247"/>
  <c r="Q250" s="1"/>
  <c r="Q343"/>
  <c r="Q349" s="1"/>
  <c r="G247"/>
  <c r="G250" s="1"/>
  <c r="G343"/>
  <c r="G349" s="1"/>
  <c r="T247"/>
  <c r="T250" s="1"/>
  <c r="T343"/>
  <c r="T349" s="1"/>
  <c r="L247"/>
  <c r="L250" s="1"/>
  <c r="L343"/>
  <c r="L349" s="1"/>
  <c r="D247"/>
  <c r="D250" s="1"/>
  <c r="D343"/>
  <c r="D349" s="1"/>
  <c r="L362"/>
  <c r="L366" s="1"/>
  <c r="L267"/>
  <c r="L270" s="1"/>
  <c r="F362"/>
  <c r="F366" s="1"/>
  <c r="F267"/>
  <c r="F270" s="1"/>
  <c r="O267"/>
  <c r="O270" s="1"/>
  <c r="O362"/>
  <c r="O366" s="1"/>
  <c r="K267"/>
  <c r="K270" s="1"/>
  <c r="K362"/>
  <c r="K366" s="1"/>
  <c r="C267"/>
  <c r="C270" s="1"/>
  <c r="C362"/>
  <c r="C366" s="1"/>
  <c r="P362"/>
  <c r="P366" s="1"/>
  <c r="P267"/>
  <c r="P270" s="1"/>
  <c r="H362"/>
  <c r="H366" s="1"/>
  <c r="H267"/>
  <c r="H270" s="1"/>
  <c r="U267"/>
  <c r="U270" s="1"/>
  <c r="U362"/>
  <c r="U366" s="1"/>
  <c r="Q267"/>
  <c r="Q270" s="1"/>
  <c r="Q362"/>
  <c r="Q366" s="1"/>
  <c r="M267"/>
  <c r="M270" s="1"/>
  <c r="M362"/>
  <c r="M366" s="1"/>
  <c r="I267"/>
  <c r="I270" s="1"/>
  <c r="I362"/>
  <c r="I366" s="1"/>
  <c r="E267"/>
  <c r="E270" s="1"/>
  <c r="E362"/>
  <c r="E366" s="1"/>
  <c r="B362"/>
  <c r="B366" s="1"/>
  <c r="B267"/>
  <c r="B270" s="1"/>
  <c r="N362"/>
  <c r="N366" s="1"/>
  <c r="N267"/>
  <c r="N270" s="1"/>
  <c r="D362"/>
  <c r="D366" s="1"/>
  <c r="D267"/>
  <c r="D270" s="1"/>
  <c r="T362"/>
  <c r="T366" s="1"/>
  <c r="T267"/>
  <c r="T270" s="1"/>
  <c r="S267"/>
  <c r="S270" s="1"/>
  <c r="S362"/>
  <c r="S366" s="1"/>
  <c r="G267"/>
  <c r="G270" s="1"/>
  <c r="G362"/>
  <c r="G366" s="1"/>
  <c r="R362"/>
  <c r="R366" s="1"/>
  <c r="R267"/>
  <c r="R270" s="1"/>
  <c r="J362"/>
  <c r="J366" s="1"/>
  <c r="J267"/>
  <c r="J270" s="1"/>
  <c r="T940"/>
  <c r="K940"/>
  <c r="H940"/>
  <c r="Q940"/>
  <c r="E940"/>
  <c r="N940"/>
  <c r="U495"/>
  <c r="U497" s="1"/>
  <c r="K495"/>
  <c r="K497" s="1"/>
  <c r="R495"/>
  <c r="R497" s="1"/>
  <c r="N495"/>
  <c r="N497" s="1"/>
  <c r="J495"/>
  <c r="J497" s="1"/>
  <c r="F495"/>
  <c r="F497" s="1"/>
  <c r="L940"/>
  <c r="L941" s="1"/>
  <c r="L943" s="1"/>
  <c r="F940"/>
  <c r="F941" s="1"/>
  <c r="F943" s="1"/>
  <c r="S940"/>
  <c r="S941" s="1"/>
  <c r="S943" s="1"/>
  <c r="O940"/>
  <c r="O941" s="1"/>
  <c r="O943" s="1"/>
  <c r="G940"/>
  <c r="G941" s="1"/>
  <c r="G943" s="1"/>
  <c r="C940"/>
  <c r="C941" s="1"/>
  <c r="C943" s="1"/>
  <c r="R940"/>
  <c r="R941" s="1"/>
  <c r="R943" s="1"/>
  <c r="J940"/>
  <c r="J941" s="1"/>
  <c r="J943" s="1"/>
  <c r="S495"/>
  <c r="S497" s="1"/>
  <c r="O495"/>
  <c r="O497" s="1"/>
  <c r="E495"/>
  <c r="E497" s="1"/>
  <c r="I495"/>
  <c r="I497" s="1"/>
  <c r="Q495"/>
  <c r="Q497" s="1"/>
  <c r="M495"/>
  <c r="M497" s="1"/>
  <c r="G495"/>
  <c r="G497" s="1"/>
  <c r="C495"/>
  <c r="C497" s="1"/>
  <c r="T495"/>
  <c r="T497" s="1"/>
  <c r="P495"/>
  <c r="P497" s="1"/>
  <c r="L495"/>
  <c r="L497" s="1"/>
  <c r="H495"/>
  <c r="H497" s="1"/>
  <c r="D495"/>
  <c r="D497" s="1"/>
  <c r="P940"/>
  <c r="P941" s="1"/>
  <c r="P943" s="1"/>
  <c r="U940"/>
  <c r="U941" s="1"/>
  <c r="U943" s="1"/>
  <c r="M940"/>
  <c r="M941" s="1"/>
  <c r="M943" s="1"/>
  <c r="I940"/>
  <c r="I941" s="1"/>
  <c r="I943" s="1"/>
  <c r="B940"/>
  <c r="D940"/>
  <c r="D941" s="1"/>
  <c r="D943" s="1"/>
  <c r="V26"/>
  <c r="W26" s="1"/>
  <c r="V118"/>
  <c r="W118" s="1"/>
  <c r="V53"/>
  <c r="W53" s="1"/>
  <c r="V25"/>
  <c r="W25" s="1"/>
  <c r="V20" i="4"/>
  <c r="W20" s="1"/>
  <c r="H263" i="13" l="1"/>
  <c r="D243"/>
  <c r="D252" s="1"/>
  <c r="D9" i="15" s="1"/>
  <c r="H243" i="13"/>
  <c r="H252" s="1"/>
  <c r="H9" i="15" s="1"/>
  <c r="L243" i="13"/>
  <c r="L252" s="1"/>
  <c r="L9" i="15" s="1"/>
  <c r="P243" i="13"/>
  <c r="P252" s="1"/>
  <c r="P9" i="15" s="1"/>
  <c r="T243" i="13"/>
  <c r="T252" s="1"/>
  <c r="T9" i="15" s="1"/>
  <c r="C243" i="13"/>
  <c r="C252" s="1"/>
  <c r="C9" i="15" s="1"/>
  <c r="G243" i="13"/>
  <c r="G252" s="1"/>
  <c r="G9" i="15" s="1"/>
  <c r="Q243" i="13"/>
  <c r="Q252" s="1"/>
  <c r="Q9" i="15" s="1"/>
  <c r="F243" i="13"/>
  <c r="F252" s="1"/>
  <c r="F9" i="15" s="1"/>
  <c r="J243" i="13"/>
  <c r="J252" s="1"/>
  <c r="J9" i="15" s="1"/>
  <c r="N243" i="13"/>
  <c r="N252" s="1"/>
  <c r="N9" i="15" s="1"/>
  <c r="R243" i="13"/>
  <c r="R252" s="1"/>
  <c r="R9" i="15" s="1"/>
  <c r="E243" i="13"/>
  <c r="E252" s="1"/>
  <c r="E9" i="15" s="1"/>
  <c r="K243" i="13"/>
  <c r="K252" s="1"/>
  <c r="K9" i="15" s="1"/>
  <c r="O243" i="13"/>
  <c r="O252" s="1"/>
  <c r="O9" i="15" s="1"/>
  <c r="S243" i="13"/>
  <c r="S252" s="1"/>
  <c r="S9" i="15" s="1"/>
  <c r="U243" i="13"/>
  <c r="U252" s="1"/>
  <c r="U9" i="15" s="1"/>
  <c r="M243" i="13"/>
  <c r="M252" s="1"/>
  <c r="M9" i="15" s="1"/>
  <c r="I243" i="13"/>
  <c r="I252" s="1"/>
  <c r="I9" i="15" s="1"/>
  <c r="H17"/>
  <c r="F17"/>
  <c r="L17"/>
  <c r="G17"/>
  <c r="S17"/>
  <c r="E17"/>
  <c r="I17"/>
  <c r="M17"/>
  <c r="Q17"/>
  <c r="C17"/>
  <c r="U17"/>
  <c r="K17"/>
  <c r="O17"/>
  <c r="J17"/>
  <c r="R17"/>
  <c r="T17"/>
  <c r="D17"/>
  <c r="N17"/>
  <c r="B17"/>
  <c r="P17"/>
  <c r="V366" i="13"/>
  <c r="W366" s="1"/>
  <c r="V349"/>
  <c r="W349" s="1"/>
  <c r="B60"/>
  <c r="B66" s="1"/>
  <c r="B339" s="1"/>
  <c r="B347" s="1"/>
  <c r="V347" s="1"/>
  <c r="W347" s="1"/>
  <c r="B227"/>
  <c r="V247"/>
  <c r="W247" s="1"/>
  <c r="E365"/>
  <c r="O365"/>
  <c r="T365"/>
  <c r="L365"/>
  <c r="N365"/>
  <c r="Q365"/>
  <c r="H365"/>
  <c r="J365"/>
  <c r="K365"/>
  <c r="S365"/>
  <c r="F365"/>
  <c r="V362"/>
  <c r="W362" s="1"/>
  <c r="V343"/>
  <c r="W343" s="1"/>
  <c r="B131"/>
  <c r="O131"/>
  <c r="S131"/>
  <c r="E131"/>
  <c r="F131"/>
  <c r="T131"/>
  <c r="L131"/>
  <c r="N131"/>
  <c r="Q131"/>
  <c r="H131"/>
  <c r="J131"/>
  <c r="K131"/>
  <c r="V940"/>
  <c r="W940" s="1"/>
  <c r="V494"/>
  <c r="W494" s="1"/>
  <c r="L62" i="8"/>
  <c r="L63"/>
  <c r="L64"/>
  <c r="L65"/>
  <c r="L66"/>
  <c r="L67"/>
  <c r="V339" i="13" l="1"/>
  <c r="W339" s="1"/>
  <c r="B346"/>
  <c r="B350" s="1"/>
  <c r="B243"/>
  <c r="B252" s="1"/>
  <c r="J271"/>
  <c r="J16" i="15" s="1"/>
  <c r="H271" i="13"/>
  <c r="H16" i="15" s="1"/>
  <c r="N271" i="13"/>
  <c r="N16" i="15" s="1"/>
  <c r="L271" i="13"/>
  <c r="L16" i="15" s="1"/>
  <c r="T271" i="13"/>
  <c r="T16" i="15" s="1"/>
  <c r="O271" i="13"/>
  <c r="O16" i="15" s="1"/>
  <c r="F271" i="13"/>
  <c r="F16" i="15" s="1"/>
  <c r="S271" i="13"/>
  <c r="S16" i="15" s="1"/>
  <c r="K271" i="13"/>
  <c r="K16" i="15" s="1"/>
  <c r="Q271" i="13"/>
  <c r="Q16" i="15" s="1"/>
  <c r="E271" i="13"/>
  <c r="E16" i="15" s="1"/>
  <c r="B63" i="13"/>
  <c r="S367"/>
  <c r="S369" s="1"/>
  <c r="K367"/>
  <c r="K369" s="1"/>
  <c r="Q367"/>
  <c r="Q369" s="1"/>
  <c r="E367"/>
  <c r="E369" s="1"/>
  <c r="F367"/>
  <c r="J367"/>
  <c r="J369" s="1"/>
  <c r="H367"/>
  <c r="H369" s="1"/>
  <c r="N367"/>
  <c r="N369" s="1"/>
  <c r="L367"/>
  <c r="L369" s="1"/>
  <c r="T367"/>
  <c r="T369" s="1"/>
  <c r="O367"/>
  <c r="O369" s="1"/>
  <c r="F369"/>
  <c r="R365"/>
  <c r="U365"/>
  <c r="C365"/>
  <c r="B365"/>
  <c r="G365"/>
  <c r="P365"/>
  <c r="M365"/>
  <c r="I365"/>
  <c r="D365"/>
  <c r="V134"/>
  <c r="W134" s="1"/>
  <c r="P131"/>
  <c r="I131"/>
  <c r="D131"/>
  <c r="R131"/>
  <c r="U131"/>
  <c r="C131"/>
  <c r="G131"/>
  <c r="M131"/>
  <c r="B497"/>
  <c r="V497" s="1"/>
  <c r="V495"/>
  <c r="W495" s="1"/>
  <c r="V128"/>
  <c r="W128" s="1"/>
  <c r="D58" i="8"/>
  <c r="C193" i="13"/>
  <c r="D193"/>
  <c r="E193"/>
  <c r="F193"/>
  <c r="G193"/>
  <c r="H193"/>
  <c r="I193"/>
  <c r="J193"/>
  <c r="K193"/>
  <c r="L193"/>
  <c r="M193"/>
  <c r="N193"/>
  <c r="O193"/>
  <c r="P193"/>
  <c r="Q193"/>
  <c r="R193"/>
  <c r="S193"/>
  <c r="T193"/>
  <c r="U193"/>
  <c r="C194"/>
  <c r="D194"/>
  <c r="E194"/>
  <c r="F194"/>
  <c r="G194"/>
  <c r="H194"/>
  <c r="I194"/>
  <c r="J194"/>
  <c r="K194"/>
  <c r="L194"/>
  <c r="M194"/>
  <c r="N194"/>
  <c r="O194"/>
  <c r="P194"/>
  <c r="Q194"/>
  <c r="R194"/>
  <c r="S194"/>
  <c r="T194"/>
  <c r="U194"/>
  <c r="C195"/>
  <c r="D195"/>
  <c r="E195"/>
  <c r="F195"/>
  <c r="G195"/>
  <c r="H195"/>
  <c r="I195"/>
  <c r="J195"/>
  <c r="K195"/>
  <c r="L195"/>
  <c r="M195"/>
  <c r="N195"/>
  <c r="O195"/>
  <c r="P195"/>
  <c r="Q195"/>
  <c r="R195"/>
  <c r="S195"/>
  <c r="T195"/>
  <c r="U195"/>
  <c r="C196"/>
  <c r="C656" s="1"/>
  <c r="D196"/>
  <c r="D656" s="1"/>
  <c r="E196"/>
  <c r="F196"/>
  <c r="F656" s="1"/>
  <c r="G196"/>
  <c r="G656" s="1"/>
  <c r="H196"/>
  <c r="I196"/>
  <c r="I656" s="1"/>
  <c r="J196"/>
  <c r="J656" s="1"/>
  <c r="K196"/>
  <c r="L196"/>
  <c r="L656" s="1"/>
  <c r="M196"/>
  <c r="M656" s="1"/>
  <c r="N196"/>
  <c r="O196"/>
  <c r="O656" s="1"/>
  <c r="P196"/>
  <c r="P656" s="1"/>
  <c r="Q196"/>
  <c r="R196"/>
  <c r="R656" s="1"/>
  <c r="S196"/>
  <c r="S656" s="1"/>
  <c r="T196"/>
  <c r="U196"/>
  <c r="U656" s="1"/>
  <c r="C197"/>
  <c r="C663" s="1"/>
  <c r="D197"/>
  <c r="D663" s="1"/>
  <c r="E197"/>
  <c r="E663" s="1"/>
  <c r="F197"/>
  <c r="F663" s="1"/>
  <c r="G197"/>
  <c r="G663" s="1"/>
  <c r="H197"/>
  <c r="H663" s="1"/>
  <c r="I197"/>
  <c r="I663" s="1"/>
  <c r="J197"/>
  <c r="J663" s="1"/>
  <c r="K197"/>
  <c r="K663" s="1"/>
  <c r="L197"/>
  <c r="L663" s="1"/>
  <c r="M197"/>
  <c r="M663" s="1"/>
  <c r="N197"/>
  <c r="N663" s="1"/>
  <c r="O197"/>
  <c r="O663" s="1"/>
  <c r="P197"/>
  <c r="P663" s="1"/>
  <c r="Q197"/>
  <c r="Q663" s="1"/>
  <c r="R197"/>
  <c r="R663" s="1"/>
  <c r="S197"/>
  <c r="S663" s="1"/>
  <c r="T197"/>
  <c r="T663" s="1"/>
  <c r="U197"/>
  <c r="C198"/>
  <c r="D198"/>
  <c r="E198"/>
  <c r="F198"/>
  <c r="G198"/>
  <c r="H198"/>
  <c r="I198"/>
  <c r="J198"/>
  <c r="K198"/>
  <c r="L198"/>
  <c r="M198"/>
  <c r="N198"/>
  <c r="O198"/>
  <c r="P198"/>
  <c r="Q198"/>
  <c r="R198"/>
  <c r="S198"/>
  <c r="T198"/>
  <c r="U198"/>
  <c r="B198"/>
  <c r="B670" s="1"/>
  <c r="B197"/>
  <c r="B196"/>
  <c r="B656" s="1"/>
  <c r="B195"/>
  <c r="B649" s="1"/>
  <c r="B194"/>
  <c r="B635" s="1"/>
  <c r="B193"/>
  <c r="V252" l="1"/>
  <c r="W252" s="1"/>
  <c r="B9" i="15"/>
  <c r="O18"/>
  <c r="L18"/>
  <c r="H18"/>
  <c r="E18"/>
  <c r="K18"/>
  <c r="F18"/>
  <c r="T18"/>
  <c r="N18"/>
  <c r="J18"/>
  <c r="B213" i="13"/>
  <c r="V243"/>
  <c r="W243" s="1"/>
  <c r="B251"/>
  <c r="B254" s="1"/>
  <c r="V263"/>
  <c r="W263" s="1"/>
  <c r="B272"/>
  <c r="Q18" i="15"/>
  <c r="S18"/>
  <c r="E272" i="13"/>
  <c r="Q272"/>
  <c r="K272"/>
  <c r="S272"/>
  <c r="F272"/>
  <c r="I271"/>
  <c r="I16" i="15" s="1"/>
  <c r="M271" i="13"/>
  <c r="M16" i="15" s="1"/>
  <c r="G271" i="13"/>
  <c r="G16" i="15" s="1"/>
  <c r="R271" i="13"/>
  <c r="R16" i="15" s="1"/>
  <c r="R18" s="1"/>
  <c r="O272" i="13"/>
  <c r="T272"/>
  <c r="L272"/>
  <c r="N272"/>
  <c r="H272"/>
  <c r="J272"/>
  <c r="D271"/>
  <c r="D16" i="15" s="1"/>
  <c r="P271" i="13"/>
  <c r="P16" i="15" s="1"/>
  <c r="C271" i="13"/>
  <c r="U271"/>
  <c r="U16" i="15" s="1"/>
  <c r="T213" i="13"/>
  <c r="T226" s="1"/>
  <c r="N213"/>
  <c r="N226" s="1"/>
  <c r="H213"/>
  <c r="H226" s="1"/>
  <c r="U212"/>
  <c r="U213" s="1"/>
  <c r="U215" s="1"/>
  <c r="U221" s="1"/>
  <c r="Q213"/>
  <c r="Q226" s="1"/>
  <c r="K213"/>
  <c r="K226" s="1"/>
  <c r="E213"/>
  <c r="E226" s="1"/>
  <c r="I367"/>
  <c r="I369" s="1"/>
  <c r="M367"/>
  <c r="M369" s="1"/>
  <c r="M18" i="15"/>
  <c r="G367" i="13"/>
  <c r="G369" s="1"/>
  <c r="C367"/>
  <c r="C369" s="1"/>
  <c r="U367"/>
  <c r="U369" s="1"/>
  <c r="D367"/>
  <c r="D369" s="1"/>
  <c r="D18" i="15"/>
  <c r="P367" i="13"/>
  <c r="P369" s="1"/>
  <c r="R367"/>
  <c r="R369" s="1"/>
  <c r="B367"/>
  <c r="V365"/>
  <c r="W365" s="1"/>
  <c r="V270"/>
  <c r="W270" s="1"/>
  <c r="V356"/>
  <c r="W356" s="1"/>
  <c r="V131"/>
  <c r="U628"/>
  <c r="U629" s="1"/>
  <c r="U631" s="1"/>
  <c r="S628"/>
  <c r="S629" s="1"/>
  <c r="S631" s="1"/>
  <c r="Q628"/>
  <c r="Q629" s="1"/>
  <c r="Q631" s="1"/>
  <c r="O628"/>
  <c r="O629" s="1"/>
  <c r="O631" s="1"/>
  <c r="M628"/>
  <c r="M629" s="1"/>
  <c r="M631" s="1"/>
  <c r="K628"/>
  <c r="K629" s="1"/>
  <c r="K631" s="1"/>
  <c r="I628"/>
  <c r="I629" s="1"/>
  <c r="I631" s="1"/>
  <c r="G628"/>
  <c r="G629" s="1"/>
  <c r="G631" s="1"/>
  <c r="E628"/>
  <c r="C628"/>
  <c r="B628"/>
  <c r="T628"/>
  <c r="R628"/>
  <c r="R629" s="1"/>
  <c r="R631" s="1"/>
  <c r="P628"/>
  <c r="P629" s="1"/>
  <c r="P631" s="1"/>
  <c r="N628"/>
  <c r="N629" s="1"/>
  <c r="N631" s="1"/>
  <c r="L628"/>
  <c r="L629" s="1"/>
  <c r="L631" s="1"/>
  <c r="J628"/>
  <c r="J629" s="1"/>
  <c r="J631" s="1"/>
  <c r="H628"/>
  <c r="H629" s="1"/>
  <c r="H631" s="1"/>
  <c r="F628"/>
  <c r="F629" s="1"/>
  <c r="F631" s="1"/>
  <c r="D628"/>
  <c r="D629" s="1"/>
  <c r="D631" s="1"/>
  <c r="B663"/>
  <c r="U670"/>
  <c r="U671" s="1"/>
  <c r="U673" s="1"/>
  <c r="S670"/>
  <c r="S671" s="1"/>
  <c r="S673" s="1"/>
  <c r="Q670"/>
  <c r="Q671" s="1"/>
  <c r="Q673" s="1"/>
  <c r="O670"/>
  <c r="O671" s="1"/>
  <c r="O673" s="1"/>
  <c r="M670"/>
  <c r="M671" s="1"/>
  <c r="M673" s="1"/>
  <c r="K670"/>
  <c r="K671" s="1"/>
  <c r="K673" s="1"/>
  <c r="I670"/>
  <c r="I671" s="1"/>
  <c r="I673" s="1"/>
  <c r="G670"/>
  <c r="G671" s="1"/>
  <c r="G673" s="1"/>
  <c r="E670"/>
  <c r="E671" s="1"/>
  <c r="E673" s="1"/>
  <c r="C670"/>
  <c r="C671" s="1"/>
  <c r="C673" s="1"/>
  <c r="Q656"/>
  <c r="Q657" s="1"/>
  <c r="Q659" s="1"/>
  <c r="K656"/>
  <c r="K657" s="1"/>
  <c r="K659" s="1"/>
  <c r="E656"/>
  <c r="E657" s="1"/>
  <c r="E659" s="1"/>
  <c r="T649"/>
  <c r="T650" s="1"/>
  <c r="T652" s="1"/>
  <c r="R649"/>
  <c r="R650" s="1"/>
  <c r="R652" s="1"/>
  <c r="P649"/>
  <c r="P650" s="1"/>
  <c r="P652" s="1"/>
  <c r="N649"/>
  <c r="N650" s="1"/>
  <c r="N652" s="1"/>
  <c r="L649"/>
  <c r="L650" s="1"/>
  <c r="L652" s="1"/>
  <c r="J649"/>
  <c r="J650" s="1"/>
  <c r="J652" s="1"/>
  <c r="H649"/>
  <c r="H650" s="1"/>
  <c r="H652" s="1"/>
  <c r="F649"/>
  <c r="F650" s="1"/>
  <c r="F652" s="1"/>
  <c r="D649"/>
  <c r="D650" s="1"/>
  <c r="D652" s="1"/>
  <c r="U635"/>
  <c r="U636" s="1"/>
  <c r="U638" s="1"/>
  <c r="S635"/>
  <c r="S636" s="1"/>
  <c r="S638" s="1"/>
  <c r="Q635"/>
  <c r="Q636" s="1"/>
  <c r="Q638" s="1"/>
  <c r="O635"/>
  <c r="O636" s="1"/>
  <c r="O638" s="1"/>
  <c r="M635"/>
  <c r="M636" s="1"/>
  <c r="M638" s="1"/>
  <c r="K635"/>
  <c r="K636" s="1"/>
  <c r="K638" s="1"/>
  <c r="I635"/>
  <c r="I636" s="1"/>
  <c r="I638" s="1"/>
  <c r="G635"/>
  <c r="G636" s="1"/>
  <c r="G638" s="1"/>
  <c r="E635"/>
  <c r="E636" s="1"/>
  <c r="E638" s="1"/>
  <c r="C635"/>
  <c r="C636" s="1"/>
  <c r="C638" s="1"/>
  <c r="T670"/>
  <c r="T671" s="1"/>
  <c r="T673" s="1"/>
  <c r="R670"/>
  <c r="R671" s="1"/>
  <c r="R673" s="1"/>
  <c r="P670"/>
  <c r="P671" s="1"/>
  <c r="P673" s="1"/>
  <c r="N670"/>
  <c r="N671" s="1"/>
  <c r="N673" s="1"/>
  <c r="L670"/>
  <c r="L671" s="1"/>
  <c r="L673" s="1"/>
  <c r="J670"/>
  <c r="J671" s="1"/>
  <c r="J673" s="1"/>
  <c r="H670"/>
  <c r="H671" s="1"/>
  <c r="H673" s="1"/>
  <c r="F670"/>
  <c r="F671" s="1"/>
  <c r="F673" s="1"/>
  <c r="D670"/>
  <c r="D671" s="1"/>
  <c r="D673" s="1"/>
  <c r="U663"/>
  <c r="U664" s="1"/>
  <c r="U666" s="1"/>
  <c r="T656"/>
  <c r="T657" s="1"/>
  <c r="T659" s="1"/>
  <c r="N656"/>
  <c r="N657" s="1"/>
  <c r="N659" s="1"/>
  <c r="H656"/>
  <c r="H657" s="1"/>
  <c r="H659" s="1"/>
  <c r="U649"/>
  <c r="U650" s="1"/>
  <c r="U652" s="1"/>
  <c r="S649"/>
  <c r="S650" s="1"/>
  <c r="S652" s="1"/>
  <c r="Q649"/>
  <c r="Q650" s="1"/>
  <c r="Q652" s="1"/>
  <c r="O649"/>
  <c r="O650" s="1"/>
  <c r="O652" s="1"/>
  <c r="M649"/>
  <c r="M650" s="1"/>
  <c r="M652" s="1"/>
  <c r="K649"/>
  <c r="K650" s="1"/>
  <c r="K652" s="1"/>
  <c r="I649"/>
  <c r="I650" s="1"/>
  <c r="I652" s="1"/>
  <c r="G649"/>
  <c r="G650" s="1"/>
  <c r="G652" s="1"/>
  <c r="E649"/>
  <c r="E650" s="1"/>
  <c r="E652" s="1"/>
  <c r="C649"/>
  <c r="C650" s="1"/>
  <c r="C652" s="1"/>
  <c r="T635"/>
  <c r="T636" s="1"/>
  <c r="T638" s="1"/>
  <c r="R635"/>
  <c r="R636" s="1"/>
  <c r="R638" s="1"/>
  <c r="P635"/>
  <c r="P636" s="1"/>
  <c r="P638" s="1"/>
  <c r="N635"/>
  <c r="N636" s="1"/>
  <c r="N638" s="1"/>
  <c r="L635"/>
  <c r="L636" s="1"/>
  <c r="L638" s="1"/>
  <c r="J635"/>
  <c r="J636" s="1"/>
  <c r="J638" s="1"/>
  <c r="H635"/>
  <c r="H636" s="1"/>
  <c r="H638" s="1"/>
  <c r="F635"/>
  <c r="F636" s="1"/>
  <c r="F638" s="1"/>
  <c r="D635"/>
  <c r="D636" s="1"/>
  <c r="D638" s="1"/>
  <c r="B671"/>
  <c r="B629"/>
  <c r="U657"/>
  <c r="U659" s="1"/>
  <c r="S657"/>
  <c r="S659" s="1"/>
  <c r="O657"/>
  <c r="O659" s="1"/>
  <c r="M657"/>
  <c r="M659" s="1"/>
  <c r="I657"/>
  <c r="I659" s="1"/>
  <c r="G657"/>
  <c r="G659" s="1"/>
  <c r="C657"/>
  <c r="C659" s="1"/>
  <c r="T629"/>
  <c r="T631" s="1"/>
  <c r="B636"/>
  <c r="R657"/>
  <c r="R659" s="1"/>
  <c r="P657"/>
  <c r="P659" s="1"/>
  <c r="L657"/>
  <c r="L659" s="1"/>
  <c r="J657"/>
  <c r="J659" s="1"/>
  <c r="F657"/>
  <c r="F659" s="1"/>
  <c r="D657"/>
  <c r="D659" s="1"/>
  <c r="E629"/>
  <c r="E631" s="1"/>
  <c r="C629"/>
  <c r="C631" s="1"/>
  <c r="Q215"/>
  <c r="Q221" s="1"/>
  <c r="T215"/>
  <c r="T221" s="1"/>
  <c r="N215"/>
  <c r="N221" s="1"/>
  <c r="H215"/>
  <c r="H221" s="1"/>
  <c r="V193"/>
  <c r="W193" s="1"/>
  <c r="V195"/>
  <c r="W195" s="1"/>
  <c r="V197"/>
  <c r="W197" s="1"/>
  <c r="V194"/>
  <c r="W194" s="1"/>
  <c r="V196"/>
  <c r="W196" s="1"/>
  <c r="V198"/>
  <c r="W198" s="1"/>
  <c r="T186"/>
  <c r="T185"/>
  <c r="T184"/>
  <c r="T662" s="1"/>
  <c r="T664" s="1"/>
  <c r="T666" s="1"/>
  <c r="T183"/>
  <c r="Q186"/>
  <c r="Q185"/>
  <c r="Q184"/>
  <c r="Q662" s="1"/>
  <c r="Q664" s="1"/>
  <c r="Q666" s="1"/>
  <c r="Q183"/>
  <c r="N186"/>
  <c r="N185"/>
  <c r="N184"/>
  <c r="N662" s="1"/>
  <c r="N664" s="1"/>
  <c r="N666" s="1"/>
  <c r="N183"/>
  <c r="K186"/>
  <c r="K185"/>
  <c r="K184"/>
  <c r="K662" s="1"/>
  <c r="K664" s="1"/>
  <c r="K666" s="1"/>
  <c r="K183"/>
  <c r="H186"/>
  <c r="H185"/>
  <c r="H184"/>
  <c r="H662" s="1"/>
  <c r="H664" s="1"/>
  <c r="H666" s="1"/>
  <c r="H183"/>
  <c r="E186"/>
  <c r="E185"/>
  <c r="E184"/>
  <c r="E662" s="1"/>
  <c r="E664" s="1"/>
  <c r="E666" s="1"/>
  <c r="E183"/>
  <c r="B186"/>
  <c r="B185"/>
  <c r="B184"/>
  <c r="B662" s="1"/>
  <c r="B183"/>
  <c r="V9" i="15" l="1"/>
  <c r="E215" i="13"/>
  <c r="E221" s="1"/>
  <c r="E281" s="1"/>
  <c r="N281"/>
  <c r="N375"/>
  <c r="H281"/>
  <c r="H375"/>
  <c r="T281"/>
  <c r="T375"/>
  <c r="Q281"/>
  <c r="Q375"/>
  <c r="U281"/>
  <c r="U375"/>
  <c r="B16" i="15"/>
  <c r="C272" i="13"/>
  <c r="C16" i="15"/>
  <c r="P18"/>
  <c r="U18"/>
  <c r="G18"/>
  <c r="I18"/>
  <c r="B352" i="13"/>
  <c r="K215"/>
  <c r="K221" s="1"/>
  <c r="U272"/>
  <c r="P272"/>
  <c r="D272"/>
  <c r="V16" i="15"/>
  <c r="W16" s="1"/>
  <c r="V271" i="13"/>
  <c r="W271" s="1"/>
  <c r="C18" i="15"/>
  <c r="R272" i="13"/>
  <c r="G272"/>
  <c r="M272"/>
  <c r="I272"/>
  <c r="B215"/>
  <c r="B221" s="1"/>
  <c r="B375" s="1"/>
  <c r="B382" s="1"/>
  <c r="B226"/>
  <c r="B641"/>
  <c r="B643" s="1"/>
  <c r="B212"/>
  <c r="B214" s="1"/>
  <c r="E641"/>
  <c r="E643" s="1"/>
  <c r="E645" s="1"/>
  <c r="E212"/>
  <c r="E214" s="1"/>
  <c r="H641"/>
  <c r="H643" s="1"/>
  <c r="H645" s="1"/>
  <c r="H212"/>
  <c r="H214" s="1"/>
  <c r="K641"/>
  <c r="K643" s="1"/>
  <c r="K645" s="1"/>
  <c r="K212"/>
  <c r="K214" s="1"/>
  <c r="N641"/>
  <c r="N643" s="1"/>
  <c r="N645" s="1"/>
  <c r="N212"/>
  <c r="N214" s="1"/>
  <c r="Q641"/>
  <c r="Q643" s="1"/>
  <c r="Q645" s="1"/>
  <c r="Q212"/>
  <c r="Q214" s="1"/>
  <c r="T641"/>
  <c r="T643" s="1"/>
  <c r="T645" s="1"/>
  <c r="T212"/>
  <c r="T214" s="1"/>
  <c r="V17" i="15"/>
  <c r="W17" s="1"/>
  <c r="B256" i="13"/>
  <c r="N382"/>
  <c r="H382"/>
  <c r="T382"/>
  <c r="Q382"/>
  <c r="U382"/>
  <c r="V367"/>
  <c r="W367" s="1"/>
  <c r="B369"/>
  <c r="V369" s="1"/>
  <c r="V628"/>
  <c r="W628" s="1"/>
  <c r="V635"/>
  <c r="W635" s="1"/>
  <c r="V670"/>
  <c r="W670" s="1"/>
  <c r="V663"/>
  <c r="W663" s="1"/>
  <c r="B664"/>
  <c r="B718"/>
  <c r="H718"/>
  <c r="H720" s="1"/>
  <c r="H722" s="1"/>
  <c r="Q718"/>
  <c r="Q720" s="1"/>
  <c r="Q722" s="1"/>
  <c r="T718"/>
  <c r="T720" s="1"/>
  <c r="T722" s="1"/>
  <c r="B725"/>
  <c r="E725"/>
  <c r="E727" s="1"/>
  <c r="E729" s="1"/>
  <c r="H725"/>
  <c r="H727" s="1"/>
  <c r="H729" s="1"/>
  <c r="K725"/>
  <c r="K727" s="1"/>
  <c r="K729" s="1"/>
  <c r="N725"/>
  <c r="N727" s="1"/>
  <c r="N729" s="1"/>
  <c r="Q725"/>
  <c r="Q727" s="1"/>
  <c r="Q729" s="1"/>
  <c r="T725"/>
  <c r="T727" s="1"/>
  <c r="T729" s="1"/>
  <c r="V629"/>
  <c r="W629" s="1"/>
  <c r="B631"/>
  <c r="V631" s="1"/>
  <c r="E718"/>
  <c r="E720" s="1"/>
  <c r="E722" s="1"/>
  <c r="K718"/>
  <c r="K720" s="1"/>
  <c r="K722" s="1"/>
  <c r="N718"/>
  <c r="N720" s="1"/>
  <c r="N722" s="1"/>
  <c r="B657"/>
  <c r="V656"/>
  <c r="W656" s="1"/>
  <c r="B638"/>
  <c r="V638" s="1"/>
  <c r="V636"/>
  <c r="W636" s="1"/>
  <c r="V649"/>
  <c r="W649" s="1"/>
  <c r="B650"/>
  <c r="V671"/>
  <c r="W671" s="1"/>
  <c r="B673"/>
  <c r="V673" s="1"/>
  <c r="U214"/>
  <c r="V211"/>
  <c r="W211" s="1"/>
  <c r="C150"/>
  <c r="D150"/>
  <c r="E150"/>
  <c r="F150"/>
  <c r="G150"/>
  <c r="H150"/>
  <c r="I150"/>
  <c r="J150"/>
  <c r="K150"/>
  <c r="L150"/>
  <c r="M150"/>
  <c r="N150"/>
  <c r="O150"/>
  <c r="P150"/>
  <c r="Q150"/>
  <c r="R150"/>
  <c r="S150"/>
  <c r="T150"/>
  <c r="U150"/>
  <c r="C151"/>
  <c r="D151"/>
  <c r="E151"/>
  <c r="F151"/>
  <c r="G151"/>
  <c r="H151"/>
  <c r="I151"/>
  <c r="J151"/>
  <c r="K151"/>
  <c r="L151"/>
  <c r="M151"/>
  <c r="N151"/>
  <c r="O151"/>
  <c r="P151"/>
  <c r="Q151"/>
  <c r="R151"/>
  <c r="S151"/>
  <c r="T151"/>
  <c r="U151"/>
  <c r="B151"/>
  <c r="B749" s="1"/>
  <c r="B150"/>
  <c r="B742" s="1"/>
  <c r="T141"/>
  <c r="Q141"/>
  <c r="N141"/>
  <c r="K141"/>
  <c r="H141"/>
  <c r="E141"/>
  <c r="B141"/>
  <c r="T90"/>
  <c r="T960" s="1"/>
  <c r="T962" s="1"/>
  <c r="T964" s="1"/>
  <c r="Q90"/>
  <c r="Q960" s="1"/>
  <c r="Q962" s="1"/>
  <c r="Q964" s="1"/>
  <c r="N90"/>
  <c r="N960" s="1"/>
  <c r="N962" s="1"/>
  <c r="N964" s="1"/>
  <c r="K90"/>
  <c r="K960" s="1"/>
  <c r="K962" s="1"/>
  <c r="K964" s="1"/>
  <c r="H90"/>
  <c r="H960" s="1"/>
  <c r="H962" s="1"/>
  <c r="H964" s="1"/>
  <c r="E90"/>
  <c r="E960" s="1"/>
  <c r="E962" s="1"/>
  <c r="E964" s="1"/>
  <c r="B90"/>
  <c r="B960" s="1"/>
  <c r="T89"/>
  <c r="T1023" s="1"/>
  <c r="T1025" s="1"/>
  <c r="T1027" s="1"/>
  <c r="Q89"/>
  <c r="Q1023" s="1"/>
  <c r="Q1025" s="1"/>
  <c r="Q1027" s="1"/>
  <c r="N89"/>
  <c r="N1023" s="1"/>
  <c r="N1025" s="1"/>
  <c r="N1027" s="1"/>
  <c r="K89"/>
  <c r="K1023" s="1"/>
  <c r="K1025" s="1"/>
  <c r="K1027" s="1"/>
  <c r="H89"/>
  <c r="H1023" s="1"/>
  <c r="H1025" s="1"/>
  <c r="H1027" s="1"/>
  <c r="E89"/>
  <c r="E1023" s="1"/>
  <c r="E1025" s="1"/>
  <c r="E1027" s="1"/>
  <c r="B89"/>
  <c r="B1023" s="1"/>
  <c r="T88"/>
  <c r="T967" s="1"/>
  <c r="T969" s="1"/>
  <c r="T971" s="1"/>
  <c r="Q88"/>
  <c r="Q967" s="1"/>
  <c r="Q969" s="1"/>
  <c r="Q971" s="1"/>
  <c r="N88"/>
  <c r="N967" s="1"/>
  <c r="N969" s="1"/>
  <c r="N971" s="1"/>
  <c r="K88"/>
  <c r="K967" s="1"/>
  <c r="K969" s="1"/>
  <c r="K971" s="1"/>
  <c r="H88"/>
  <c r="H967" s="1"/>
  <c r="H969" s="1"/>
  <c r="H971" s="1"/>
  <c r="E88"/>
  <c r="E967" s="1"/>
  <c r="E969" s="1"/>
  <c r="E971" s="1"/>
  <c r="B88"/>
  <c r="B967" s="1"/>
  <c r="T87"/>
  <c r="T988" s="1"/>
  <c r="T990" s="1"/>
  <c r="T992" s="1"/>
  <c r="Q87"/>
  <c r="Q988" s="1"/>
  <c r="Q990" s="1"/>
  <c r="Q992" s="1"/>
  <c r="N87"/>
  <c r="N988" s="1"/>
  <c r="N990" s="1"/>
  <c r="N992" s="1"/>
  <c r="K87"/>
  <c r="K988" s="1"/>
  <c r="K990" s="1"/>
  <c r="K992" s="1"/>
  <c r="H87"/>
  <c r="H988" s="1"/>
  <c r="H990" s="1"/>
  <c r="H992" s="1"/>
  <c r="E87"/>
  <c r="E988" s="1"/>
  <c r="E990" s="1"/>
  <c r="E992" s="1"/>
  <c r="B87"/>
  <c r="B988" s="1"/>
  <c r="T86"/>
  <c r="T946" s="1"/>
  <c r="T948" s="1"/>
  <c r="T950" s="1"/>
  <c r="Q86"/>
  <c r="Q946" s="1"/>
  <c r="Q948" s="1"/>
  <c r="Q950" s="1"/>
  <c r="N86"/>
  <c r="N946" s="1"/>
  <c r="N948" s="1"/>
  <c r="N950" s="1"/>
  <c r="K86"/>
  <c r="K946" s="1"/>
  <c r="K948" s="1"/>
  <c r="K950" s="1"/>
  <c r="H86"/>
  <c r="H946" s="1"/>
  <c r="H948" s="1"/>
  <c r="H950" s="1"/>
  <c r="E86"/>
  <c r="E946" s="1"/>
  <c r="E948" s="1"/>
  <c r="E950" s="1"/>
  <c r="B86"/>
  <c r="B946" s="1"/>
  <c r="T85"/>
  <c r="T939" s="1"/>
  <c r="T941" s="1"/>
  <c r="T943" s="1"/>
  <c r="Q85"/>
  <c r="Q939" s="1"/>
  <c r="Q941" s="1"/>
  <c r="Q943" s="1"/>
  <c r="N85"/>
  <c r="N939" s="1"/>
  <c r="N941" s="1"/>
  <c r="N943" s="1"/>
  <c r="K85"/>
  <c r="K939" s="1"/>
  <c r="K941" s="1"/>
  <c r="K943" s="1"/>
  <c r="H85"/>
  <c r="H939" s="1"/>
  <c r="H941" s="1"/>
  <c r="H943" s="1"/>
  <c r="E85"/>
  <c r="E939" s="1"/>
  <c r="E941" s="1"/>
  <c r="E943" s="1"/>
  <c r="B85"/>
  <c r="B939" s="1"/>
  <c r="T84"/>
  <c r="T932" s="1"/>
  <c r="T934" s="1"/>
  <c r="T936" s="1"/>
  <c r="Q84"/>
  <c r="Q932" s="1"/>
  <c r="Q934" s="1"/>
  <c r="Q936" s="1"/>
  <c r="N84"/>
  <c r="N932" s="1"/>
  <c r="N934" s="1"/>
  <c r="N936" s="1"/>
  <c r="K84"/>
  <c r="K932" s="1"/>
  <c r="K934" s="1"/>
  <c r="K936" s="1"/>
  <c r="H84"/>
  <c r="H932" s="1"/>
  <c r="H934" s="1"/>
  <c r="H936" s="1"/>
  <c r="E84"/>
  <c r="E932" s="1"/>
  <c r="E934" s="1"/>
  <c r="E936" s="1"/>
  <c r="B84"/>
  <c r="B932" s="1"/>
  <c r="T83"/>
  <c r="T918" s="1"/>
  <c r="T920" s="1"/>
  <c r="T922" s="1"/>
  <c r="Q83"/>
  <c r="Q918" s="1"/>
  <c r="Q920" s="1"/>
  <c r="Q922" s="1"/>
  <c r="N83"/>
  <c r="N918" s="1"/>
  <c r="N920" s="1"/>
  <c r="N922" s="1"/>
  <c r="K83"/>
  <c r="K918" s="1"/>
  <c r="K920" s="1"/>
  <c r="K922" s="1"/>
  <c r="H83"/>
  <c r="H918" s="1"/>
  <c r="H920" s="1"/>
  <c r="H922" s="1"/>
  <c r="E83"/>
  <c r="E918" s="1"/>
  <c r="E920" s="1"/>
  <c r="E922" s="1"/>
  <c r="B83"/>
  <c r="B918" s="1"/>
  <c r="T82"/>
  <c r="T897" s="1"/>
  <c r="T899" s="1"/>
  <c r="T901" s="1"/>
  <c r="Q82"/>
  <c r="Q897" s="1"/>
  <c r="Q899" s="1"/>
  <c r="Q901" s="1"/>
  <c r="N82"/>
  <c r="N897" s="1"/>
  <c r="N899" s="1"/>
  <c r="N901" s="1"/>
  <c r="K82"/>
  <c r="K897" s="1"/>
  <c r="K899" s="1"/>
  <c r="K901" s="1"/>
  <c r="H82"/>
  <c r="H897" s="1"/>
  <c r="H899" s="1"/>
  <c r="H901" s="1"/>
  <c r="E82"/>
  <c r="E897" s="1"/>
  <c r="E899" s="1"/>
  <c r="E901" s="1"/>
  <c r="B82"/>
  <c r="B897" s="1"/>
  <c r="T81"/>
  <c r="T890" s="1"/>
  <c r="T892" s="1"/>
  <c r="T894" s="1"/>
  <c r="Q81"/>
  <c r="Q890" s="1"/>
  <c r="Q892" s="1"/>
  <c r="Q894" s="1"/>
  <c r="N81"/>
  <c r="N890" s="1"/>
  <c r="N892" s="1"/>
  <c r="N894" s="1"/>
  <c r="K81"/>
  <c r="K890" s="1"/>
  <c r="K892" s="1"/>
  <c r="K894" s="1"/>
  <c r="H81"/>
  <c r="H890" s="1"/>
  <c r="H892" s="1"/>
  <c r="H894" s="1"/>
  <c r="E81"/>
  <c r="E890" s="1"/>
  <c r="E892" s="1"/>
  <c r="E894" s="1"/>
  <c r="B81"/>
  <c r="B890" s="1"/>
  <c r="T80"/>
  <c r="T883" s="1"/>
  <c r="T885" s="1"/>
  <c r="T887" s="1"/>
  <c r="Q80"/>
  <c r="Q883" s="1"/>
  <c r="Q885" s="1"/>
  <c r="Q887" s="1"/>
  <c r="N80"/>
  <c r="N883" s="1"/>
  <c r="N885" s="1"/>
  <c r="N887" s="1"/>
  <c r="K80"/>
  <c r="K883" s="1"/>
  <c r="K885" s="1"/>
  <c r="K887" s="1"/>
  <c r="H80"/>
  <c r="H883" s="1"/>
  <c r="H885" s="1"/>
  <c r="H887" s="1"/>
  <c r="E80"/>
  <c r="E883" s="1"/>
  <c r="E885" s="1"/>
  <c r="E887" s="1"/>
  <c r="B80"/>
  <c r="B883" s="1"/>
  <c r="T79"/>
  <c r="Q79"/>
  <c r="N79"/>
  <c r="K79"/>
  <c r="H79"/>
  <c r="E79"/>
  <c r="B79"/>
  <c r="T78"/>
  <c r="Q78"/>
  <c r="N78"/>
  <c r="K78"/>
  <c r="H78"/>
  <c r="E78"/>
  <c r="B78"/>
  <c r="T77"/>
  <c r="T855" s="1"/>
  <c r="T857" s="1"/>
  <c r="T859" s="1"/>
  <c r="Q77"/>
  <c r="Q855" s="1"/>
  <c r="Q857" s="1"/>
  <c r="Q859" s="1"/>
  <c r="N77"/>
  <c r="N855" s="1"/>
  <c r="N857" s="1"/>
  <c r="N859" s="1"/>
  <c r="K77"/>
  <c r="K855" s="1"/>
  <c r="K857" s="1"/>
  <c r="K859" s="1"/>
  <c r="H77"/>
  <c r="H855" s="1"/>
  <c r="H857" s="1"/>
  <c r="H859" s="1"/>
  <c r="E77"/>
  <c r="E855" s="1"/>
  <c r="E857" s="1"/>
  <c r="E859" s="1"/>
  <c r="B77"/>
  <c r="T76"/>
  <c r="T841" s="1"/>
  <c r="T843" s="1"/>
  <c r="T845" s="1"/>
  <c r="Q76"/>
  <c r="Q841" s="1"/>
  <c r="Q843" s="1"/>
  <c r="Q845" s="1"/>
  <c r="N76"/>
  <c r="N841" s="1"/>
  <c r="N843" s="1"/>
  <c r="N845" s="1"/>
  <c r="K76"/>
  <c r="K841" s="1"/>
  <c r="K843" s="1"/>
  <c r="K845" s="1"/>
  <c r="H76"/>
  <c r="H841" s="1"/>
  <c r="H843" s="1"/>
  <c r="H845" s="1"/>
  <c r="E76"/>
  <c r="E841" s="1"/>
  <c r="E843" s="1"/>
  <c r="E845" s="1"/>
  <c r="B76"/>
  <c r="B841" s="1"/>
  <c r="T75"/>
  <c r="T848" s="1"/>
  <c r="T850" s="1"/>
  <c r="T852" s="1"/>
  <c r="Q75"/>
  <c r="Q848" s="1"/>
  <c r="Q850" s="1"/>
  <c r="Q852" s="1"/>
  <c r="N75"/>
  <c r="N848" s="1"/>
  <c r="N850" s="1"/>
  <c r="N852" s="1"/>
  <c r="K75"/>
  <c r="K848" s="1"/>
  <c r="K850" s="1"/>
  <c r="K852" s="1"/>
  <c r="H75"/>
  <c r="H848" s="1"/>
  <c r="H850" s="1"/>
  <c r="H852" s="1"/>
  <c r="E75"/>
  <c r="E848" s="1"/>
  <c r="E850" s="1"/>
  <c r="E852" s="1"/>
  <c r="B75"/>
  <c r="B848" s="1"/>
  <c r="T74"/>
  <c r="T834" s="1"/>
  <c r="T836" s="1"/>
  <c r="T838" s="1"/>
  <c r="Q74"/>
  <c r="Q834" s="1"/>
  <c r="Q836" s="1"/>
  <c r="Q838" s="1"/>
  <c r="N74"/>
  <c r="N834" s="1"/>
  <c r="N836" s="1"/>
  <c r="N838" s="1"/>
  <c r="K74"/>
  <c r="K834" s="1"/>
  <c r="K836" s="1"/>
  <c r="K838" s="1"/>
  <c r="H74"/>
  <c r="H834" s="1"/>
  <c r="H836" s="1"/>
  <c r="H838" s="1"/>
  <c r="E74"/>
  <c r="E834" s="1"/>
  <c r="E836" s="1"/>
  <c r="E838" s="1"/>
  <c r="B74"/>
  <c r="B834" s="1"/>
  <c r="T73"/>
  <c r="Q73"/>
  <c r="N73"/>
  <c r="K73"/>
  <c r="H73"/>
  <c r="E73"/>
  <c r="B73"/>
  <c r="T17"/>
  <c r="Q17"/>
  <c r="N17"/>
  <c r="K17"/>
  <c r="H17"/>
  <c r="E17"/>
  <c r="B17"/>
  <c r="T15"/>
  <c r="E15"/>
  <c r="C29"/>
  <c r="D29"/>
  <c r="E29"/>
  <c r="F29"/>
  <c r="G29"/>
  <c r="H29"/>
  <c r="I29"/>
  <c r="J29"/>
  <c r="K29"/>
  <c r="L29"/>
  <c r="M29"/>
  <c r="N29"/>
  <c r="O29"/>
  <c r="P29"/>
  <c r="Q29"/>
  <c r="R29"/>
  <c r="S29"/>
  <c r="T29"/>
  <c r="U29"/>
  <c r="C43"/>
  <c r="D43"/>
  <c r="E43"/>
  <c r="F43"/>
  <c r="G43"/>
  <c r="H43"/>
  <c r="I43"/>
  <c r="J43"/>
  <c r="K43"/>
  <c r="L43"/>
  <c r="M43"/>
  <c r="N43"/>
  <c r="O43"/>
  <c r="P43"/>
  <c r="Q43"/>
  <c r="R43"/>
  <c r="S43"/>
  <c r="T43"/>
  <c r="U43"/>
  <c r="B43"/>
  <c r="B501" s="1"/>
  <c r="C42"/>
  <c r="D42"/>
  <c r="E42"/>
  <c r="F42"/>
  <c r="G42"/>
  <c r="H42"/>
  <c r="I42"/>
  <c r="J42"/>
  <c r="K42"/>
  <c r="L42"/>
  <c r="M42"/>
  <c r="N42"/>
  <c r="O42"/>
  <c r="P42"/>
  <c r="Q42"/>
  <c r="R42"/>
  <c r="S42"/>
  <c r="T42"/>
  <c r="U42"/>
  <c r="B42"/>
  <c r="B473" s="1"/>
  <c r="C41"/>
  <c r="D41"/>
  <c r="E41"/>
  <c r="E571" s="1"/>
  <c r="F41"/>
  <c r="G41"/>
  <c r="H41"/>
  <c r="H571" s="1"/>
  <c r="I41"/>
  <c r="J41"/>
  <c r="K41"/>
  <c r="K571" s="1"/>
  <c r="L41"/>
  <c r="M41"/>
  <c r="N41"/>
  <c r="N571" s="1"/>
  <c r="O41"/>
  <c r="P41"/>
  <c r="Q41"/>
  <c r="Q571" s="1"/>
  <c r="R41"/>
  <c r="S41"/>
  <c r="T41"/>
  <c r="T571" s="1"/>
  <c r="U41"/>
  <c r="B41"/>
  <c r="B571" s="1"/>
  <c r="C40"/>
  <c r="D40"/>
  <c r="E40"/>
  <c r="F40"/>
  <c r="G40"/>
  <c r="H40"/>
  <c r="I40"/>
  <c r="J40"/>
  <c r="K40"/>
  <c r="L40"/>
  <c r="M40"/>
  <c r="N40"/>
  <c r="O40"/>
  <c r="P40"/>
  <c r="Q40"/>
  <c r="R40"/>
  <c r="S40"/>
  <c r="T40"/>
  <c r="U40"/>
  <c r="B40"/>
  <c r="C39"/>
  <c r="C452" s="1"/>
  <c r="D39"/>
  <c r="D452" s="1"/>
  <c r="E39"/>
  <c r="E452" s="1"/>
  <c r="F39"/>
  <c r="F452" s="1"/>
  <c r="G39"/>
  <c r="G452" s="1"/>
  <c r="H39"/>
  <c r="H452" s="1"/>
  <c r="I39"/>
  <c r="I452" s="1"/>
  <c r="J39"/>
  <c r="J452" s="1"/>
  <c r="K39"/>
  <c r="K452" s="1"/>
  <c r="L39"/>
  <c r="L452" s="1"/>
  <c r="M39"/>
  <c r="M452" s="1"/>
  <c r="N39"/>
  <c r="N452" s="1"/>
  <c r="O39"/>
  <c r="O452" s="1"/>
  <c r="P39"/>
  <c r="P452" s="1"/>
  <c r="Q39"/>
  <c r="Q452" s="1"/>
  <c r="R39"/>
  <c r="R452" s="1"/>
  <c r="S39"/>
  <c r="S452" s="1"/>
  <c r="T39"/>
  <c r="T452" s="1"/>
  <c r="U39"/>
  <c r="U452" s="1"/>
  <c r="B39"/>
  <c r="B452" s="1"/>
  <c r="C38"/>
  <c r="C564" s="1"/>
  <c r="D38"/>
  <c r="D564" s="1"/>
  <c r="E38"/>
  <c r="E564" s="1"/>
  <c r="F38"/>
  <c r="F564" s="1"/>
  <c r="G38"/>
  <c r="G564" s="1"/>
  <c r="H38"/>
  <c r="H564" s="1"/>
  <c r="I38"/>
  <c r="I564" s="1"/>
  <c r="J38"/>
  <c r="J564" s="1"/>
  <c r="K38"/>
  <c r="K564" s="1"/>
  <c r="L38"/>
  <c r="L564" s="1"/>
  <c r="M38"/>
  <c r="M564" s="1"/>
  <c r="N38"/>
  <c r="N564" s="1"/>
  <c r="O38"/>
  <c r="O564" s="1"/>
  <c r="P38"/>
  <c r="P564" s="1"/>
  <c r="Q38"/>
  <c r="Q564" s="1"/>
  <c r="R38"/>
  <c r="R564" s="1"/>
  <c r="S38"/>
  <c r="S564" s="1"/>
  <c r="T38"/>
  <c r="T564" s="1"/>
  <c r="U38"/>
  <c r="U564" s="1"/>
  <c r="B38"/>
  <c r="B564" s="1"/>
  <c r="C37"/>
  <c r="D37"/>
  <c r="E37"/>
  <c r="F37"/>
  <c r="G37"/>
  <c r="H37"/>
  <c r="I37"/>
  <c r="J37"/>
  <c r="K37"/>
  <c r="L37"/>
  <c r="M37"/>
  <c r="N37"/>
  <c r="O37"/>
  <c r="P37"/>
  <c r="Q37"/>
  <c r="R37"/>
  <c r="S37"/>
  <c r="T37"/>
  <c r="U37"/>
  <c r="B37"/>
  <c r="C36"/>
  <c r="C459" s="1"/>
  <c r="D36"/>
  <c r="D459" s="1"/>
  <c r="E36"/>
  <c r="E459" s="1"/>
  <c r="F36"/>
  <c r="F459" s="1"/>
  <c r="G36"/>
  <c r="G459" s="1"/>
  <c r="H36"/>
  <c r="H459" s="1"/>
  <c r="I36"/>
  <c r="I459" s="1"/>
  <c r="J36"/>
  <c r="J459" s="1"/>
  <c r="K36"/>
  <c r="K459" s="1"/>
  <c r="L36"/>
  <c r="L459" s="1"/>
  <c r="M36"/>
  <c r="M459" s="1"/>
  <c r="N36"/>
  <c r="N459" s="1"/>
  <c r="O36"/>
  <c r="O459" s="1"/>
  <c r="P36"/>
  <c r="P459" s="1"/>
  <c r="Q36"/>
  <c r="Q459" s="1"/>
  <c r="R36"/>
  <c r="R459" s="1"/>
  <c r="S36"/>
  <c r="S459" s="1"/>
  <c r="T36"/>
  <c r="T459" s="1"/>
  <c r="U36"/>
  <c r="U459" s="1"/>
  <c r="B36"/>
  <c r="B459" s="1"/>
  <c r="C35"/>
  <c r="D35"/>
  <c r="E35"/>
  <c r="F35"/>
  <c r="G35"/>
  <c r="H35"/>
  <c r="I35"/>
  <c r="J35"/>
  <c r="K35"/>
  <c r="L35"/>
  <c r="M35"/>
  <c r="N35"/>
  <c r="O35"/>
  <c r="P35"/>
  <c r="Q35"/>
  <c r="R35"/>
  <c r="S35"/>
  <c r="T35"/>
  <c r="U35"/>
  <c r="B35"/>
  <c r="C34"/>
  <c r="C466" s="1"/>
  <c r="D34"/>
  <c r="D466" s="1"/>
  <c r="E34"/>
  <c r="E466" s="1"/>
  <c r="F34"/>
  <c r="F466" s="1"/>
  <c r="G34"/>
  <c r="G466" s="1"/>
  <c r="H34"/>
  <c r="H466" s="1"/>
  <c r="I34"/>
  <c r="I466" s="1"/>
  <c r="J34"/>
  <c r="J466" s="1"/>
  <c r="K34"/>
  <c r="K466" s="1"/>
  <c r="L34"/>
  <c r="L466" s="1"/>
  <c r="M34"/>
  <c r="M466" s="1"/>
  <c r="N34"/>
  <c r="N466" s="1"/>
  <c r="O34"/>
  <c r="O466" s="1"/>
  <c r="P34"/>
  <c r="P466" s="1"/>
  <c r="Q34"/>
  <c r="Q466" s="1"/>
  <c r="R34"/>
  <c r="R466" s="1"/>
  <c r="S34"/>
  <c r="S466" s="1"/>
  <c r="T34"/>
  <c r="T466" s="1"/>
  <c r="U34"/>
  <c r="U466" s="1"/>
  <c r="B34"/>
  <c r="B466" s="1"/>
  <c r="C33"/>
  <c r="C578" s="1"/>
  <c r="D33"/>
  <c r="D578" s="1"/>
  <c r="E33"/>
  <c r="E578" s="1"/>
  <c r="F33"/>
  <c r="F578" s="1"/>
  <c r="G33"/>
  <c r="G578" s="1"/>
  <c r="H33"/>
  <c r="H578" s="1"/>
  <c r="I33"/>
  <c r="I578" s="1"/>
  <c r="J33"/>
  <c r="J578" s="1"/>
  <c r="K33"/>
  <c r="K578" s="1"/>
  <c r="L33"/>
  <c r="L578" s="1"/>
  <c r="M33"/>
  <c r="M578" s="1"/>
  <c r="N33"/>
  <c r="N578" s="1"/>
  <c r="O33"/>
  <c r="O578" s="1"/>
  <c r="P33"/>
  <c r="P578" s="1"/>
  <c r="Q33"/>
  <c r="Q578" s="1"/>
  <c r="R33"/>
  <c r="R578" s="1"/>
  <c r="S33"/>
  <c r="S578" s="1"/>
  <c r="T33"/>
  <c r="T578" s="1"/>
  <c r="U33"/>
  <c r="U578" s="1"/>
  <c r="B33"/>
  <c r="B578" s="1"/>
  <c r="C32"/>
  <c r="C431" s="1"/>
  <c r="D32"/>
  <c r="D431" s="1"/>
  <c r="E32"/>
  <c r="E431" s="1"/>
  <c r="F32"/>
  <c r="F431" s="1"/>
  <c r="G32"/>
  <c r="G431" s="1"/>
  <c r="H32"/>
  <c r="H431" s="1"/>
  <c r="I32"/>
  <c r="I431" s="1"/>
  <c r="J32"/>
  <c r="J431" s="1"/>
  <c r="K32"/>
  <c r="K431" s="1"/>
  <c r="L32"/>
  <c r="L431" s="1"/>
  <c r="M32"/>
  <c r="M431" s="1"/>
  <c r="N32"/>
  <c r="N431" s="1"/>
  <c r="O32"/>
  <c r="O431" s="1"/>
  <c r="P32"/>
  <c r="P431" s="1"/>
  <c r="Q32"/>
  <c r="Q431" s="1"/>
  <c r="R32"/>
  <c r="R431" s="1"/>
  <c r="S32"/>
  <c r="S431" s="1"/>
  <c r="T32"/>
  <c r="T431" s="1"/>
  <c r="U32"/>
  <c r="U431" s="1"/>
  <c r="B32"/>
  <c r="B431" s="1"/>
  <c r="C31"/>
  <c r="D31"/>
  <c r="E31"/>
  <c r="F31"/>
  <c r="G31"/>
  <c r="H31"/>
  <c r="I31"/>
  <c r="J31"/>
  <c r="K31"/>
  <c r="L31"/>
  <c r="M31"/>
  <c r="N31"/>
  <c r="O31"/>
  <c r="P31"/>
  <c r="Q31"/>
  <c r="R31"/>
  <c r="S31"/>
  <c r="T31"/>
  <c r="U31"/>
  <c r="B31"/>
  <c r="C30"/>
  <c r="D30"/>
  <c r="E30"/>
  <c r="F30"/>
  <c r="G30"/>
  <c r="H30"/>
  <c r="I30"/>
  <c r="J30"/>
  <c r="K30"/>
  <c r="L30"/>
  <c r="M30"/>
  <c r="N30"/>
  <c r="O30"/>
  <c r="P30"/>
  <c r="Q30"/>
  <c r="R30"/>
  <c r="S30"/>
  <c r="T30"/>
  <c r="U30"/>
  <c r="B30"/>
  <c r="B536" s="1"/>
  <c r="S184"/>
  <c r="R184"/>
  <c r="P184"/>
  <c r="O184"/>
  <c r="M184"/>
  <c r="L184"/>
  <c r="J184"/>
  <c r="I184"/>
  <c r="G184"/>
  <c r="F184"/>
  <c r="D184"/>
  <c r="C184"/>
  <c r="B25" i="4"/>
  <c r="T58"/>
  <c r="T52"/>
  <c r="T333" s="1"/>
  <c r="T51"/>
  <c r="T326" s="1"/>
  <c r="T328" s="1"/>
  <c r="T330" s="1"/>
  <c r="T50"/>
  <c r="T319" s="1"/>
  <c r="T49"/>
  <c r="T312" s="1"/>
  <c r="T314" s="1"/>
  <c r="T316" s="1"/>
  <c r="T48"/>
  <c r="T47"/>
  <c r="T298" s="1"/>
  <c r="T300" s="1"/>
  <c r="T302" s="1"/>
  <c r="T46"/>
  <c r="T291" s="1"/>
  <c r="T293" s="1"/>
  <c r="T295" s="1"/>
  <c r="T45"/>
  <c r="T284" s="1"/>
  <c r="T44"/>
  <c r="T270" s="1"/>
  <c r="T272" s="1"/>
  <c r="T274" s="1"/>
  <c r="T43"/>
  <c r="T277" s="1"/>
  <c r="T279" s="1"/>
  <c r="T281" s="1"/>
  <c r="T42"/>
  <c r="T263" s="1"/>
  <c r="T41"/>
  <c r="Q58"/>
  <c r="Q57"/>
  <c r="Q368" s="1"/>
  <c r="Q370" s="1"/>
  <c r="Q372" s="1"/>
  <c r="Q56"/>
  <c r="Q361" s="1"/>
  <c r="Q363" s="1"/>
  <c r="Q365" s="1"/>
  <c r="Q55"/>
  <c r="Q54"/>
  <c r="Q347" s="1"/>
  <c r="Q53"/>
  <c r="Q340" s="1"/>
  <c r="Q52"/>
  <c r="Q333" s="1"/>
  <c r="Q51"/>
  <c r="Q326" s="1"/>
  <c r="Q328" s="1"/>
  <c r="Q330" s="1"/>
  <c r="Q50"/>
  <c r="Q319" s="1"/>
  <c r="Q49"/>
  <c r="Q312" s="1"/>
  <c r="Q314" s="1"/>
  <c r="Q316" s="1"/>
  <c r="Q48"/>
  <c r="Q47"/>
  <c r="Q298" s="1"/>
  <c r="Q300" s="1"/>
  <c r="Q302" s="1"/>
  <c r="Q46"/>
  <c r="Q291" s="1"/>
  <c r="Q293" s="1"/>
  <c r="Q295" s="1"/>
  <c r="Q45"/>
  <c r="Q284" s="1"/>
  <c r="Q44"/>
  <c r="Q270" s="1"/>
  <c r="Q272" s="1"/>
  <c r="Q274" s="1"/>
  <c r="Q43"/>
  <c r="Q277" s="1"/>
  <c r="Q279" s="1"/>
  <c r="Q281" s="1"/>
  <c r="Q42"/>
  <c r="Q263" s="1"/>
  <c r="Q41"/>
  <c r="N58"/>
  <c r="N57"/>
  <c r="N368" s="1"/>
  <c r="N370" s="1"/>
  <c r="N372" s="1"/>
  <c r="N56"/>
  <c r="N361" s="1"/>
  <c r="N363" s="1"/>
  <c r="N365" s="1"/>
  <c r="N55"/>
  <c r="N54"/>
  <c r="N347" s="1"/>
  <c r="N53"/>
  <c r="N340" s="1"/>
  <c r="N52"/>
  <c r="N333" s="1"/>
  <c r="N51"/>
  <c r="N326" s="1"/>
  <c r="N328" s="1"/>
  <c r="N330" s="1"/>
  <c r="N50"/>
  <c r="N319" s="1"/>
  <c r="N49"/>
  <c r="N312" s="1"/>
  <c r="N314" s="1"/>
  <c r="N316" s="1"/>
  <c r="N48"/>
  <c r="N47"/>
  <c r="N298" s="1"/>
  <c r="N300" s="1"/>
  <c r="N302" s="1"/>
  <c r="N46"/>
  <c r="N291" s="1"/>
  <c r="N293" s="1"/>
  <c r="N295" s="1"/>
  <c r="N45"/>
  <c r="N284" s="1"/>
  <c r="N44"/>
  <c r="N270" s="1"/>
  <c r="N272" s="1"/>
  <c r="N274" s="1"/>
  <c r="N43"/>
  <c r="N277" s="1"/>
  <c r="N279" s="1"/>
  <c r="N281" s="1"/>
  <c r="N42"/>
  <c r="N263" s="1"/>
  <c r="N41"/>
  <c r="K58"/>
  <c r="K57"/>
  <c r="K368" s="1"/>
  <c r="K370" s="1"/>
  <c r="K372" s="1"/>
  <c r="K56"/>
  <c r="K361" s="1"/>
  <c r="K363" s="1"/>
  <c r="K365" s="1"/>
  <c r="K55"/>
  <c r="K54"/>
  <c r="K347" s="1"/>
  <c r="K53"/>
  <c r="K340" s="1"/>
  <c r="K52"/>
  <c r="K333" s="1"/>
  <c r="K51"/>
  <c r="K326" s="1"/>
  <c r="K328" s="1"/>
  <c r="K330" s="1"/>
  <c r="K50"/>
  <c r="K319" s="1"/>
  <c r="K49"/>
  <c r="K312" s="1"/>
  <c r="K314" s="1"/>
  <c r="K316" s="1"/>
  <c r="K48"/>
  <c r="K47"/>
  <c r="K298" s="1"/>
  <c r="K300" s="1"/>
  <c r="K302" s="1"/>
  <c r="K46"/>
  <c r="K291" s="1"/>
  <c r="K293" s="1"/>
  <c r="K295" s="1"/>
  <c r="K45"/>
  <c r="K284" s="1"/>
  <c r="K44"/>
  <c r="K270" s="1"/>
  <c r="K272" s="1"/>
  <c r="K274" s="1"/>
  <c r="K43"/>
  <c r="K277" s="1"/>
  <c r="K279" s="1"/>
  <c r="K281" s="1"/>
  <c r="K42"/>
  <c r="K263" s="1"/>
  <c r="K41"/>
  <c r="H58"/>
  <c r="H57"/>
  <c r="H368" s="1"/>
  <c r="H370" s="1"/>
  <c r="H372" s="1"/>
  <c r="H56"/>
  <c r="H361" s="1"/>
  <c r="H363" s="1"/>
  <c r="H365" s="1"/>
  <c r="H55"/>
  <c r="H54"/>
  <c r="H347" s="1"/>
  <c r="H53"/>
  <c r="H340" s="1"/>
  <c r="H52"/>
  <c r="H333" s="1"/>
  <c r="H51"/>
  <c r="H326" s="1"/>
  <c r="H328" s="1"/>
  <c r="H330" s="1"/>
  <c r="H50"/>
  <c r="H319" s="1"/>
  <c r="H49"/>
  <c r="H312" s="1"/>
  <c r="H314" s="1"/>
  <c r="H316" s="1"/>
  <c r="H48"/>
  <c r="H47"/>
  <c r="H298" s="1"/>
  <c r="H300" s="1"/>
  <c r="H302" s="1"/>
  <c r="H46"/>
  <c r="H291" s="1"/>
  <c r="H293" s="1"/>
  <c r="H295" s="1"/>
  <c r="H45"/>
  <c r="H284" s="1"/>
  <c r="H44"/>
  <c r="H270" s="1"/>
  <c r="H272" s="1"/>
  <c r="H274" s="1"/>
  <c r="H43"/>
  <c r="H277" s="1"/>
  <c r="H279" s="1"/>
  <c r="H281" s="1"/>
  <c r="H42"/>
  <c r="H263" s="1"/>
  <c r="H41"/>
  <c r="E58"/>
  <c r="E57"/>
  <c r="E368" s="1"/>
  <c r="E370" s="1"/>
  <c r="E372" s="1"/>
  <c r="E56"/>
  <c r="E361" s="1"/>
  <c r="E363" s="1"/>
  <c r="E365" s="1"/>
  <c r="E55"/>
  <c r="E54"/>
  <c r="E347" s="1"/>
  <c r="E53"/>
  <c r="E340" s="1"/>
  <c r="E52"/>
  <c r="E333" s="1"/>
  <c r="E51"/>
  <c r="E326" s="1"/>
  <c r="E328" s="1"/>
  <c r="E330" s="1"/>
  <c r="E50"/>
  <c r="E319" s="1"/>
  <c r="E49"/>
  <c r="E312" s="1"/>
  <c r="E314" s="1"/>
  <c r="E316" s="1"/>
  <c r="E48"/>
  <c r="E47"/>
  <c r="E298" s="1"/>
  <c r="E300" s="1"/>
  <c r="E302" s="1"/>
  <c r="E46"/>
  <c r="E291" s="1"/>
  <c r="E293" s="1"/>
  <c r="E295" s="1"/>
  <c r="E45"/>
  <c r="E284" s="1"/>
  <c r="E44"/>
  <c r="E270" s="1"/>
  <c r="E272" s="1"/>
  <c r="E274" s="1"/>
  <c r="E43"/>
  <c r="E277" s="1"/>
  <c r="E279" s="1"/>
  <c r="E281" s="1"/>
  <c r="E42"/>
  <c r="E263" s="1"/>
  <c r="E41"/>
  <c r="B42"/>
  <c r="B263" s="1"/>
  <c r="B43"/>
  <c r="B277" s="1"/>
  <c r="B44"/>
  <c r="B45"/>
  <c r="B284" s="1"/>
  <c r="B46"/>
  <c r="B291" s="1"/>
  <c r="B47"/>
  <c r="B298" s="1"/>
  <c r="B48"/>
  <c r="B49"/>
  <c r="B312" s="1"/>
  <c r="B50"/>
  <c r="B319" s="1"/>
  <c r="B51"/>
  <c r="B326" s="1"/>
  <c r="B52"/>
  <c r="B333" s="1"/>
  <c r="B53"/>
  <c r="B340" s="1"/>
  <c r="B54"/>
  <c r="B347" s="1"/>
  <c r="B55"/>
  <c r="B56"/>
  <c r="B361" s="1"/>
  <c r="B57"/>
  <c r="B368" s="1"/>
  <c r="B58"/>
  <c r="B375" s="1"/>
  <c r="B41"/>
  <c r="B18" i="15" l="1"/>
  <c r="V641" i="13"/>
  <c r="W641" s="1"/>
  <c r="E375"/>
  <c r="E382" s="1"/>
  <c r="B178" i="4"/>
  <c r="B249"/>
  <c r="E249"/>
  <c r="H249"/>
  <c r="K249"/>
  <c r="N249"/>
  <c r="Q249"/>
  <c r="T249"/>
  <c r="K281" i="13"/>
  <c r="K375"/>
  <c r="K382" s="1"/>
  <c r="B281"/>
  <c r="D662"/>
  <c r="D664" s="1"/>
  <c r="D666" s="1"/>
  <c r="G662"/>
  <c r="G664" s="1"/>
  <c r="G666" s="1"/>
  <c r="J662"/>
  <c r="J664" s="1"/>
  <c r="J666" s="1"/>
  <c r="M662"/>
  <c r="M664" s="1"/>
  <c r="M666" s="1"/>
  <c r="P662"/>
  <c r="P664" s="1"/>
  <c r="P666" s="1"/>
  <c r="S662"/>
  <c r="S664" s="1"/>
  <c r="S666" s="1"/>
  <c r="C662"/>
  <c r="C664" s="1"/>
  <c r="C666" s="1"/>
  <c r="F662"/>
  <c r="F664" s="1"/>
  <c r="F666" s="1"/>
  <c r="I662"/>
  <c r="I664" s="1"/>
  <c r="I666" s="1"/>
  <c r="L662"/>
  <c r="L664" s="1"/>
  <c r="L666" s="1"/>
  <c r="O662"/>
  <c r="O664" s="1"/>
  <c r="O666" s="1"/>
  <c r="R662"/>
  <c r="R664" s="1"/>
  <c r="R666" s="1"/>
  <c r="B167"/>
  <c r="B169" s="1"/>
  <c r="H755"/>
  <c r="H757" s="1"/>
  <c r="H759" s="1"/>
  <c r="H167"/>
  <c r="N755"/>
  <c r="N757" s="1"/>
  <c r="N759" s="1"/>
  <c r="N167"/>
  <c r="T755"/>
  <c r="T757" s="1"/>
  <c r="T759" s="1"/>
  <c r="T167"/>
  <c r="U167"/>
  <c r="U168" s="1"/>
  <c r="U226" s="1"/>
  <c r="S167"/>
  <c r="S168" s="1"/>
  <c r="O167"/>
  <c r="O168" s="1"/>
  <c r="M167"/>
  <c r="M168" s="1"/>
  <c r="I167"/>
  <c r="I168" s="1"/>
  <c r="G167"/>
  <c r="G168" s="1"/>
  <c r="C167"/>
  <c r="C168" s="1"/>
  <c r="E755"/>
  <c r="E757" s="1"/>
  <c r="E759" s="1"/>
  <c r="E167"/>
  <c r="K755"/>
  <c r="K757" s="1"/>
  <c r="K759" s="1"/>
  <c r="K167"/>
  <c r="Q755"/>
  <c r="Q757" s="1"/>
  <c r="Q759" s="1"/>
  <c r="Q167"/>
  <c r="R167"/>
  <c r="R168" s="1"/>
  <c r="P167"/>
  <c r="P168" s="1"/>
  <c r="L167"/>
  <c r="L168" s="1"/>
  <c r="J167"/>
  <c r="J168" s="1"/>
  <c r="F167"/>
  <c r="F168" s="1"/>
  <c r="D167"/>
  <c r="D168" s="1"/>
  <c r="B125"/>
  <c r="B127" s="1"/>
  <c r="B827"/>
  <c r="B829" s="1"/>
  <c r="H827"/>
  <c r="H829" s="1"/>
  <c r="H831" s="1"/>
  <c r="H125"/>
  <c r="H127" s="1"/>
  <c r="N827"/>
  <c r="N829" s="1"/>
  <c r="N831" s="1"/>
  <c r="N125"/>
  <c r="T827"/>
  <c r="T829" s="1"/>
  <c r="T831" s="1"/>
  <c r="T125"/>
  <c r="E827"/>
  <c r="E829" s="1"/>
  <c r="E831" s="1"/>
  <c r="E125"/>
  <c r="K827"/>
  <c r="K829" s="1"/>
  <c r="K831" s="1"/>
  <c r="K125"/>
  <c r="Q827"/>
  <c r="Q829" s="1"/>
  <c r="Q831" s="1"/>
  <c r="Q125"/>
  <c r="U57"/>
  <c r="S57"/>
  <c r="O57"/>
  <c r="M57"/>
  <c r="I57"/>
  <c r="G57"/>
  <c r="C57"/>
  <c r="T57"/>
  <c r="K57"/>
  <c r="Q57"/>
  <c r="R57"/>
  <c r="P57"/>
  <c r="L57"/>
  <c r="J57"/>
  <c r="F57"/>
  <c r="D57"/>
  <c r="E57"/>
  <c r="B57"/>
  <c r="B59" s="1"/>
  <c r="H57"/>
  <c r="N57"/>
  <c r="E437"/>
  <c r="E439" s="1"/>
  <c r="B384"/>
  <c r="B557"/>
  <c r="T557"/>
  <c r="T558" s="1"/>
  <c r="T560" s="1"/>
  <c r="R557"/>
  <c r="R558" s="1"/>
  <c r="R560" s="1"/>
  <c r="P557"/>
  <c r="P558" s="1"/>
  <c r="P560" s="1"/>
  <c r="N557"/>
  <c r="N558" s="1"/>
  <c r="N560" s="1"/>
  <c r="L557"/>
  <c r="L558" s="1"/>
  <c r="L560" s="1"/>
  <c r="J557"/>
  <c r="J558" s="1"/>
  <c r="J560" s="1"/>
  <c r="H557"/>
  <c r="H558" s="1"/>
  <c r="H560" s="1"/>
  <c r="F557"/>
  <c r="F558" s="1"/>
  <c r="F560" s="1"/>
  <c r="D557"/>
  <c r="D558" s="1"/>
  <c r="D560" s="1"/>
  <c r="V261"/>
  <c r="W261" s="1"/>
  <c r="U557"/>
  <c r="U558" s="1"/>
  <c r="U560" s="1"/>
  <c r="S557"/>
  <c r="S558" s="1"/>
  <c r="S560" s="1"/>
  <c r="Q557"/>
  <c r="Q558" s="1"/>
  <c r="Q560" s="1"/>
  <c r="O557"/>
  <c r="O558" s="1"/>
  <c r="O560" s="1"/>
  <c r="M557"/>
  <c r="M558" s="1"/>
  <c r="M560" s="1"/>
  <c r="K557"/>
  <c r="K558" s="1"/>
  <c r="K560" s="1"/>
  <c r="I557"/>
  <c r="I558" s="1"/>
  <c r="I560" s="1"/>
  <c r="G557"/>
  <c r="G558" s="1"/>
  <c r="G560" s="1"/>
  <c r="E557"/>
  <c r="E558" s="1"/>
  <c r="E560" s="1"/>
  <c r="C557"/>
  <c r="C558" s="1"/>
  <c r="C560" s="1"/>
  <c r="T437"/>
  <c r="T439" s="1"/>
  <c r="T441" s="1"/>
  <c r="B217"/>
  <c r="B869"/>
  <c r="B871" s="1"/>
  <c r="H869"/>
  <c r="H871" s="1"/>
  <c r="H873" s="1"/>
  <c r="N869"/>
  <c r="N871" s="1"/>
  <c r="N873" s="1"/>
  <c r="T869"/>
  <c r="T871" s="1"/>
  <c r="T873" s="1"/>
  <c r="E876"/>
  <c r="E878" s="1"/>
  <c r="E880" s="1"/>
  <c r="K876"/>
  <c r="K878" s="1"/>
  <c r="K880" s="1"/>
  <c r="Q876"/>
  <c r="Q878" s="1"/>
  <c r="Q880" s="1"/>
  <c r="E869"/>
  <c r="E871" s="1"/>
  <c r="E873" s="1"/>
  <c r="K869"/>
  <c r="K871" s="1"/>
  <c r="K873" s="1"/>
  <c r="Q869"/>
  <c r="Q871" s="1"/>
  <c r="Q873" s="1"/>
  <c r="B876"/>
  <c r="B878" s="1"/>
  <c r="H876"/>
  <c r="H878" s="1"/>
  <c r="H880" s="1"/>
  <c r="N876"/>
  <c r="N878" s="1"/>
  <c r="N880" s="1"/>
  <c r="T876"/>
  <c r="T878" s="1"/>
  <c r="T880" s="1"/>
  <c r="U536"/>
  <c r="U537" s="1"/>
  <c r="U539" s="1"/>
  <c r="S536"/>
  <c r="S537" s="1"/>
  <c r="S539" s="1"/>
  <c r="Q536"/>
  <c r="Q537" s="1"/>
  <c r="Q539" s="1"/>
  <c r="O536"/>
  <c r="O537" s="1"/>
  <c r="O539" s="1"/>
  <c r="M536"/>
  <c r="M537" s="1"/>
  <c r="M539" s="1"/>
  <c r="K536"/>
  <c r="K537" s="1"/>
  <c r="K539" s="1"/>
  <c r="I536"/>
  <c r="I537" s="1"/>
  <c r="I539" s="1"/>
  <c r="G536"/>
  <c r="G537" s="1"/>
  <c r="G539" s="1"/>
  <c r="E536"/>
  <c r="E537" s="1"/>
  <c r="E539" s="1"/>
  <c r="C536"/>
  <c r="C537" s="1"/>
  <c r="C539" s="1"/>
  <c r="U571"/>
  <c r="U572" s="1"/>
  <c r="U574" s="1"/>
  <c r="S571"/>
  <c r="S572" s="1"/>
  <c r="S574" s="1"/>
  <c r="O571"/>
  <c r="O572" s="1"/>
  <c r="O574" s="1"/>
  <c r="M571"/>
  <c r="M572" s="1"/>
  <c r="M574" s="1"/>
  <c r="I571"/>
  <c r="I572" s="1"/>
  <c r="I574" s="1"/>
  <c r="G571"/>
  <c r="G572" s="1"/>
  <c r="G574" s="1"/>
  <c r="C571"/>
  <c r="C572" s="1"/>
  <c r="C574" s="1"/>
  <c r="U473"/>
  <c r="U474" s="1"/>
  <c r="U476" s="1"/>
  <c r="S473"/>
  <c r="S474" s="1"/>
  <c r="S476" s="1"/>
  <c r="Q473"/>
  <c r="Q474" s="1"/>
  <c r="Q476" s="1"/>
  <c r="O473"/>
  <c r="O474" s="1"/>
  <c r="O476" s="1"/>
  <c r="M473"/>
  <c r="M474" s="1"/>
  <c r="M476" s="1"/>
  <c r="K473"/>
  <c r="K474" s="1"/>
  <c r="K476" s="1"/>
  <c r="I473"/>
  <c r="I474" s="1"/>
  <c r="I476" s="1"/>
  <c r="G473"/>
  <c r="G474" s="1"/>
  <c r="G476" s="1"/>
  <c r="E473"/>
  <c r="E474" s="1"/>
  <c r="E476" s="1"/>
  <c r="C473"/>
  <c r="C474" s="1"/>
  <c r="C476" s="1"/>
  <c r="U501"/>
  <c r="U502" s="1"/>
  <c r="U504" s="1"/>
  <c r="S501"/>
  <c r="S502" s="1"/>
  <c r="S504" s="1"/>
  <c r="Q501"/>
  <c r="Q502" s="1"/>
  <c r="Q504" s="1"/>
  <c r="O501"/>
  <c r="O502" s="1"/>
  <c r="O504" s="1"/>
  <c r="M501"/>
  <c r="M502" s="1"/>
  <c r="M504" s="1"/>
  <c r="K501"/>
  <c r="K502" s="1"/>
  <c r="K504" s="1"/>
  <c r="I501"/>
  <c r="I502" s="1"/>
  <c r="I504" s="1"/>
  <c r="G501"/>
  <c r="G502" s="1"/>
  <c r="G504" s="1"/>
  <c r="E501"/>
  <c r="E502" s="1"/>
  <c r="E504" s="1"/>
  <c r="C501"/>
  <c r="C502" s="1"/>
  <c r="C504" s="1"/>
  <c r="T515"/>
  <c r="T516" s="1"/>
  <c r="T518" s="1"/>
  <c r="R515"/>
  <c r="R516" s="1"/>
  <c r="R518" s="1"/>
  <c r="P515"/>
  <c r="P516" s="1"/>
  <c r="P518" s="1"/>
  <c r="N515"/>
  <c r="N516" s="1"/>
  <c r="N518" s="1"/>
  <c r="L515"/>
  <c r="L516" s="1"/>
  <c r="L518" s="1"/>
  <c r="J515"/>
  <c r="J516" s="1"/>
  <c r="J518" s="1"/>
  <c r="H515"/>
  <c r="H516" s="1"/>
  <c r="H518" s="1"/>
  <c r="F515"/>
  <c r="F516" s="1"/>
  <c r="F518" s="1"/>
  <c r="D515"/>
  <c r="D516" s="1"/>
  <c r="D518" s="1"/>
  <c r="T749"/>
  <c r="T750" s="1"/>
  <c r="T752" s="1"/>
  <c r="R749"/>
  <c r="R750" s="1"/>
  <c r="R752" s="1"/>
  <c r="P749"/>
  <c r="P750" s="1"/>
  <c r="P752" s="1"/>
  <c r="N749"/>
  <c r="N750" s="1"/>
  <c r="N752" s="1"/>
  <c r="L749"/>
  <c r="L750" s="1"/>
  <c r="L752" s="1"/>
  <c r="J749"/>
  <c r="J750" s="1"/>
  <c r="J752" s="1"/>
  <c r="H749"/>
  <c r="H750" s="1"/>
  <c r="H752" s="1"/>
  <c r="F749"/>
  <c r="F750" s="1"/>
  <c r="F752" s="1"/>
  <c r="D749"/>
  <c r="D750" s="1"/>
  <c r="D752" s="1"/>
  <c r="U742"/>
  <c r="U743" s="1"/>
  <c r="U745" s="1"/>
  <c r="S742"/>
  <c r="S743" s="1"/>
  <c r="S745" s="1"/>
  <c r="Q742"/>
  <c r="Q743" s="1"/>
  <c r="Q745" s="1"/>
  <c r="O742"/>
  <c r="O743" s="1"/>
  <c r="O745" s="1"/>
  <c r="M742"/>
  <c r="M743" s="1"/>
  <c r="M745" s="1"/>
  <c r="K742"/>
  <c r="K743" s="1"/>
  <c r="K745" s="1"/>
  <c r="I742"/>
  <c r="I743" s="1"/>
  <c r="I745" s="1"/>
  <c r="G742"/>
  <c r="G743" s="1"/>
  <c r="G745" s="1"/>
  <c r="E742"/>
  <c r="E743" s="1"/>
  <c r="E745" s="1"/>
  <c r="C742"/>
  <c r="C743" s="1"/>
  <c r="C745" s="1"/>
  <c r="T536"/>
  <c r="T537" s="1"/>
  <c r="T539" s="1"/>
  <c r="R536"/>
  <c r="R537" s="1"/>
  <c r="R539" s="1"/>
  <c r="P536"/>
  <c r="P537" s="1"/>
  <c r="P539" s="1"/>
  <c r="N536"/>
  <c r="N537" s="1"/>
  <c r="N539" s="1"/>
  <c r="L536"/>
  <c r="L537" s="1"/>
  <c r="L539" s="1"/>
  <c r="J536"/>
  <c r="J537" s="1"/>
  <c r="J539" s="1"/>
  <c r="H536"/>
  <c r="H537" s="1"/>
  <c r="H539" s="1"/>
  <c r="F536"/>
  <c r="F537" s="1"/>
  <c r="F539" s="1"/>
  <c r="D536"/>
  <c r="D537" s="1"/>
  <c r="D539" s="1"/>
  <c r="R571"/>
  <c r="R572" s="1"/>
  <c r="R574" s="1"/>
  <c r="P571"/>
  <c r="P572" s="1"/>
  <c r="P574" s="1"/>
  <c r="L571"/>
  <c r="L572" s="1"/>
  <c r="L574" s="1"/>
  <c r="J571"/>
  <c r="J572" s="1"/>
  <c r="J574" s="1"/>
  <c r="F571"/>
  <c r="F572" s="1"/>
  <c r="F574" s="1"/>
  <c r="D571"/>
  <c r="D572" s="1"/>
  <c r="D574" s="1"/>
  <c r="T473"/>
  <c r="T474" s="1"/>
  <c r="T476" s="1"/>
  <c r="R473"/>
  <c r="R474" s="1"/>
  <c r="R476" s="1"/>
  <c r="P473"/>
  <c r="P474" s="1"/>
  <c r="P476" s="1"/>
  <c r="N473"/>
  <c r="N474" s="1"/>
  <c r="N476" s="1"/>
  <c r="L473"/>
  <c r="L474" s="1"/>
  <c r="L476" s="1"/>
  <c r="J473"/>
  <c r="J474" s="1"/>
  <c r="J476" s="1"/>
  <c r="H473"/>
  <c r="H474" s="1"/>
  <c r="H476" s="1"/>
  <c r="F473"/>
  <c r="F474" s="1"/>
  <c r="F476" s="1"/>
  <c r="D473"/>
  <c r="D474" s="1"/>
  <c r="D476" s="1"/>
  <c r="T501"/>
  <c r="T502" s="1"/>
  <c r="T504" s="1"/>
  <c r="R501"/>
  <c r="R502" s="1"/>
  <c r="R504" s="1"/>
  <c r="P501"/>
  <c r="P502" s="1"/>
  <c r="P504" s="1"/>
  <c r="N501"/>
  <c r="N502" s="1"/>
  <c r="N504" s="1"/>
  <c r="L501"/>
  <c r="L502" s="1"/>
  <c r="L504" s="1"/>
  <c r="J501"/>
  <c r="J502" s="1"/>
  <c r="J504" s="1"/>
  <c r="H501"/>
  <c r="H502" s="1"/>
  <c r="H504" s="1"/>
  <c r="F501"/>
  <c r="F502" s="1"/>
  <c r="F504" s="1"/>
  <c r="D501"/>
  <c r="D502" s="1"/>
  <c r="D504" s="1"/>
  <c r="U515"/>
  <c r="U516" s="1"/>
  <c r="U518" s="1"/>
  <c r="S515"/>
  <c r="S516" s="1"/>
  <c r="S518" s="1"/>
  <c r="Q515"/>
  <c r="Q516" s="1"/>
  <c r="Q518" s="1"/>
  <c r="O515"/>
  <c r="O516" s="1"/>
  <c r="O518" s="1"/>
  <c r="M515"/>
  <c r="M516" s="1"/>
  <c r="M518" s="1"/>
  <c r="K515"/>
  <c r="K516" s="1"/>
  <c r="K518" s="1"/>
  <c r="I515"/>
  <c r="I516" s="1"/>
  <c r="I518" s="1"/>
  <c r="G515"/>
  <c r="G516" s="1"/>
  <c r="G518" s="1"/>
  <c r="E515"/>
  <c r="E516" s="1"/>
  <c r="E518" s="1"/>
  <c r="C515"/>
  <c r="U749"/>
  <c r="U750" s="1"/>
  <c r="U752" s="1"/>
  <c r="S749"/>
  <c r="S750" s="1"/>
  <c r="S752" s="1"/>
  <c r="Q749"/>
  <c r="Q750" s="1"/>
  <c r="Q752" s="1"/>
  <c r="O749"/>
  <c r="O750" s="1"/>
  <c r="O752" s="1"/>
  <c r="M749"/>
  <c r="M750" s="1"/>
  <c r="M752" s="1"/>
  <c r="K749"/>
  <c r="K750" s="1"/>
  <c r="K752" s="1"/>
  <c r="I749"/>
  <c r="I750" s="1"/>
  <c r="I752" s="1"/>
  <c r="G749"/>
  <c r="G750" s="1"/>
  <c r="G752" s="1"/>
  <c r="E749"/>
  <c r="E750" s="1"/>
  <c r="E752" s="1"/>
  <c r="C749"/>
  <c r="C750" s="1"/>
  <c r="C752" s="1"/>
  <c r="T742"/>
  <c r="T743" s="1"/>
  <c r="T745" s="1"/>
  <c r="R742"/>
  <c r="R743" s="1"/>
  <c r="R745" s="1"/>
  <c r="P742"/>
  <c r="P743" s="1"/>
  <c r="P745" s="1"/>
  <c r="N742"/>
  <c r="N743" s="1"/>
  <c r="N745" s="1"/>
  <c r="L742"/>
  <c r="L743" s="1"/>
  <c r="L745" s="1"/>
  <c r="J742"/>
  <c r="J743" s="1"/>
  <c r="J745" s="1"/>
  <c r="H742"/>
  <c r="H743" s="1"/>
  <c r="H745" s="1"/>
  <c r="F742"/>
  <c r="F743" s="1"/>
  <c r="F745" s="1"/>
  <c r="D742"/>
  <c r="D743" s="1"/>
  <c r="D745" s="1"/>
  <c r="T432"/>
  <c r="T434" s="1"/>
  <c r="R432"/>
  <c r="R434" s="1"/>
  <c r="P432"/>
  <c r="P434" s="1"/>
  <c r="N432"/>
  <c r="N434" s="1"/>
  <c r="L432"/>
  <c r="L434" s="1"/>
  <c r="J432"/>
  <c r="J434" s="1"/>
  <c r="H432"/>
  <c r="H434" s="1"/>
  <c r="F432"/>
  <c r="F434" s="1"/>
  <c r="D432"/>
  <c r="D434" s="1"/>
  <c r="T579"/>
  <c r="T581" s="1"/>
  <c r="R579"/>
  <c r="R581" s="1"/>
  <c r="P579"/>
  <c r="P581" s="1"/>
  <c r="N579"/>
  <c r="N581" s="1"/>
  <c r="L579"/>
  <c r="L581" s="1"/>
  <c r="J579"/>
  <c r="J581" s="1"/>
  <c r="H579"/>
  <c r="H581" s="1"/>
  <c r="F579"/>
  <c r="F581" s="1"/>
  <c r="D579"/>
  <c r="D581" s="1"/>
  <c r="T467"/>
  <c r="T469" s="1"/>
  <c r="R467"/>
  <c r="R469" s="1"/>
  <c r="P467"/>
  <c r="P469" s="1"/>
  <c r="N467"/>
  <c r="N469" s="1"/>
  <c r="L467"/>
  <c r="L469" s="1"/>
  <c r="J467"/>
  <c r="J469" s="1"/>
  <c r="H467"/>
  <c r="H469" s="1"/>
  <c r="F467"/>
  <c r="F469" s="1"/>
  <c r="D467"/>
  <c r="D469" s="1"/>
  <c r="B606"/>
  <c r="T606"/>
  <c r="T607" s="1"/>
  <c r="T609" s="1"/>
  <c r="R606"/>
  <c r="R607" s="1"/>
  <c r="R609" s="1"/>
  <c r="P606"/>
  <c r="P607" s="1"/>
  <c r="P609" s="1"/>
  <c r="N606"/>
  <c r="N607" s="1"/>
  <c r="N609" s="1"/>
  <c r="L606"/>
  <c r="L607" s="1"/>
  <c r="L609" s="1"/>
  <c r="J606"/>
  <c r="J607" s="1"/>
  <c r="J609" s="1"/>
  <c r="H606"/>
  <c r="H607" s="1"/>
  <c r="H609" s="1"/>
  <c r="F606"/>
  <c r="F607" s="1"/>
  <c r="F609" s="1"/>
  <c r="D606"/>
  <c r="D607" s="1"/>
  <c r="D609" s="1"/>
  <c r="T460"/>
  <c r="T462" s="1"/>
  <c r="R460"/>
  <c r="R462" s="1"/>
  <c r="P460"/>
  <c r="P462" s="1"/>
  <c r="N460"/>
  <c r="N462" s="1"/>
  <c r="L460"/>
  <c r="L462" s="1"/>
  <c r="J460"/>
  <c r="J462" s="1"/>
  <c r="H460"/>
  <c r="H462" s="1"/>
  <c r="F460"/>
  <c r="F462" s="1"/>
  <c r="D460"/>
  <c r="D462" s="1"/>
  <c r="B613"/>
  <c r="T613"/>
  <c r="T614" s="1"/>
  <c r="T616" s="1"/>
  <c r="R613"/>
  <c r="R614" s="1"/>
  <c r="R616" s="1"/>
  <c r="P613"/>
  <c r="P614" s="1"/>
  <c r="P616" s="1"/>
  <c r="N613"/>
  <c r="N614" s="1"/>
  <c r="N616" s="1"/>
  <c r="L613"/>
  <c r="L614" s="1"/>
  <c r="L616" s="1"/>
  <c r="J613"/>
  <c r="J614" s="1"/>
  <c r="J616" s="1"/>
  <c r="H613"/>
  <c r="H614" s="1"/>
  <c r="H616" s="1"/>
  <c r="F613"/>
  <c r="F614" s="1"/>
  <c r="F616" s="1"/>
  <c r="D613"/>
  <c r="D614" s="1"/>
  <c r="D616" s="1"/>
  <c r="V564"/>
  <c r="W564" s="1"/>
  <c r="R565"/>
  <c r="R567" s="1"/>
  <c r="P565"/>
  <c r="P567" s="1"/>
  <c r="L565"/>
  <c r="L567" s="1"/>
  <c r="J565"/>
  <c r="J567" s="1"/>
  <c r="F565"/>
  <c r="F567" s="1"/>
  <c r="D565"/>
  <c r="D567" s="1"/>
  <c r="V452"/>
  <c r="W452" s="1"/>
  <c r="B453"/>
  <c r="T453"/>
  <c r="T455" s="1"/>
  <c r="R453"/>
  <c r="R455" s="1"/>
  <c r="P453"/>
  <c r="P455" s="1"/>
  <c r="N453"/>
  <c r="N455" s="1"/>
  <c r="L453"/>
  <c r="L455" s="1"/>
  <c r="J453"/>
  <c r="J455" s="1"/>
  <c r="H453"/>
  <c r="H455" s="1"/>
  <c r="F453"/>
  <c r="F455" s="1"/>
  <c r="D453"/>
  <c r="D455" s="1"/>
  <c r="B620"/>
  <c r="B621" s="1"/>
  <c r="T620"/>
  <c r="T621" s="1"/>
  <c r="T623" s="1"/>
  <c r="R620"/>
  <c r="R621" s="1"/>
  <c r="R623" s="1"/>
  <c r="P620"/>
  <c r="P621" s="1"/>
  <c r="P623" s="1"/>
  <c r="N620"/>
  <c r="N621" s="1"/>
  <c r="N623" s="1"/>
  <c r="L620"/>
  <c r="L621" s="1"/>
  <c r="L623" s="1"/>
  <c r="J620"/>
  <c r="J621" s="1"/>
  <c r="J623" s="1"/>
  <c r="H620"/>
  <c r="H621" s="1"/>
  <c r="H623" s="1"/>
  <c r="F620"/>
  <c r="F621" s="1"/>
  <c r="F623" s="1"/>
  <c r="D620"/>
  <c r="D621" s="1"/>
  <c r="D623" s="1"/>
  <c r="T572"/>
  <c r="T574" s="1"/>
  <c r="N572"/>
  <c r="N574" s="1"/>
  <c r="H572"/>
  <c r="H574" s="1"/>
  <c r="B563"/>
  <c r="H563"/>
  <c r="H565" s="1"/>
  <c r="H567" s="1"/>
  <c r="N563"/>
  <c r="N565" s="1"/>
  <c r="N567" s="1"/>
  <c r="T563"/>
  <c r="T565" s="1"/>
  <c r="T567" s="1"/>
  <c r="B836"/>
  <c r="V834"/>
  <c r="W834" s="1"/>
  <c r="V841"/>
  <c r="W841" s="1"/>
  <c r="B843"/>
  <c r="V883"/>
  <c r="W883" s="1"/>
  <c r="B885"/>
  <c r="V897"/>
  <c r="W897" s="1"/>
  <c r="B899"/>
  <c r="V932"/>
  <c r="W932" s="1"/>
  <c r="B934"/>
  <c r="V946"/>
  <c r="W946" s="1"/>
  <c r="B948"/>
  <c r="B969"/>
  <c r="V967"/>
  <c r="W967" s="1"/>
  <c r="V960"/>
  <c r="W960" s="1"/>
  <c r="B962"/>
  <c r="B743"/>
  <c r="V657"/>
  <c r="W657" s="1"/>
  <c r="B659"/>
  <c r="V659" s="1"/>
  <c r="U432"/>
  <c r="U434" s="1"/>
  <c r="S432"/>
  <c r="S434" s="1"/>
  <c r="Q432"/>
  <c r="Q434" s="1"/>
  <c r="O432"/>
  <c r="O434" s="1"/>
  <c r="M432"/>
  <c r="M434" s="1"/>
  <c r="K432"/>
  <c r="K434" s="1"/>
  <c r="I432"/>
  <c r="I434" s="1"/>
  <c r="G432"/>
  <c r="G434" s="1"/>
  <c r="E432"/>
  <c r="E434" s="1"/>
  <c r="C432"/>
  <c r="C434" s="1"/>
  <c r="U579"/>
  <c r="U581" s="1"/>
  <c r="S579"/>
  <c r="S581" s="1"/>
  <c r="Q579"/>
  <c r="Q581" s="1"/>
  <c r="O579"/>
  <c r="O581" s="1"/>
  <c r="M579"/>
  <c r="M581" s="1"/>
  <c r="K579"/>
  <c r="K581" s="1"/>
  <c r="I579"/>
  <c r="I581" s="1"/>
  <c r="G579"/>
  <c r="G581" s="1"/>
  <c r="E579"/>
  <c r="E581" s="1"/>
  <c r="C579"/>
  <c r="C581" s="1"/>
  <c r="U467"/>
  <c r="U469" s="1"/>
  <c r="S467"/>
  <c r="S469" s="1"/>
  <c r="Q467"/>
  <c r="Q469" s="1"/>
  <c r="O467"/>
  <c r="O469" s="1"/>
  <c r="M467"/>
  <c r="M469" s="1"/>
  <c r="K467"/>
  <c r="K469" s="1"/>
  <c r="I467"/>
  <c r="I469" s="1"/>
  <c r="G467"/>
  <c r="G469" s="1"/>
  <c r="E467"/>
  <c r="E469" s="1"/>
  <c r="C467"/>
  <c r="C469" s="1"/>
  <c r="U606"/>
  <c r="U607" s="1"/>
  <c r="U609" s="1"/>
  <c r="S606"/>
  <c r="S607" s="1"/>
  <c r="S609" s="1"/>
  <c r="Q606"/>
  <c r="Q607" s="1"/>
  <c r="Q609" s="1"/>
  <c r="O606"/>
  <c r="O607" s="1"/>
  <c r="O609" s="1"/>
  <c r="M606"/>
  <c r="M607" s="1"/>
  <c r="M609" s="1"/>
  <c r="K606"/>
  <c r="K607" s="1"/>
  <c r="K609" s="1"/>
  <c r="I606"/>
  <c r="I607" s="1"/>
  <c r="I609" s="1"/>
  <c r="G606"/>
  <c r="G607" s="1"/>
  <c r="G609" s="1"/>
  <c r="E606"/>
  <c r="E607" s="1"/>
  <c r="E609" s="1"/>
  <c r="C606"/>
  <c r="C607" s="1"/>
  <c r="C609" s="1"/>
  <c r="U460"/>
  <c r="U462" s="1"/>
  <c r="S460"/>
  <c r="S462" s="1"/>
  <c r="Q460"/>
  <c r="Q462" s="1"/>
  <c r="O460"/>
  <c r="O462" s="1"/>
  <c r="M460"/>
  <c r="M462" s="1"/>
  <c r="K460"/>
  <c r="K462" s="1"/>
  <c r="I460"/>
  <c r="I462" s="1"/>
  <c r="G460"/>
  <c r="G462" s="1"/>
  <c r="E460"/>
  <c r="E462" s="1"/>
  <c r="C460"/>
  <c r="C462" s="1"/>
  <c r="U613"/>
  <c r="U614" s="1"/>
  <c r="U616" s="1"/>
  <c r="S613"/>
  <c r="S614" s="1"/>
  <c r="S616" s="1"/>
  <c r="Q613"/>
  <c r="Q614" s="1"/>
  <c r="Q616" s="1"/>
  <c r="O613"/>
  <c r="O614" s="1"/>
  <c r="O616" s="1"/>
  <c r="M613"/>
  <c r="M614" s="1"/>
  <c r="M616" s="1"/>
  <c r="K613"/>
  <c r="K614" s="1"/>
  <c r="K616" s="1"/>
  <c r="I613"/>
  <c r="I614" s="1"/>
  <c r="I616" s="1"/>
  <c r="G613"/>
  <c r="G614" s="1"/>
  <c r="G616" s="1"/>
  <c r="E613"/>
  <c r="E614" s="1"/>
  <c r="E616" s="1"/>
  <c r="C613"/>
  <c r="C614" s="1"/>
  <c r="C616" s="1"/>
  <c r="U565"/>
  <c r="U567" s="1"/>
  <c r="S565"/>
  <c r="S567" s="1"/>
  <c r="O565"/>
  <c r="O567" s="1"/>
  <c r="M565"/>
  <c r="M567" s="1"/>
  <c r="I565"/>
  <c r="I567" s="1"/>
  <c r="G565"/>
  <c r="G567" s="1"/>
  <c r="C565"/>
  <c r="C567" s="1"/>
  <c r="U453"/>
  <c r="U455" s="1"/>
  <c r="S453"/>
  <c r="S455" s="1"/>
  <c r="Q453"/>
  <c r="Q455" s="1"/>
  <c r="O453"/>
  <c r="O455" s="1"/>
  <c r="M453"/>
  <c r="M455" s="1"/>
  <c r="K453"/>
  <c r="K455" s="1"/>
  <c r="I453"/>
  <c r="I455" s="1"/>
  <c r="G453"/>
  <c r="G455" s="1"/>
  <c r="E453"/>
  <c r="E455" s="1"/>
  <c r="C453"/>
  <c r="C455" s="1"/>
  <c r="U620"/>
  <c r="S620"/>
  <c r="S621" s="1"/>
  <c r="S623" s="1"/>
  <c r="Q620"/>
  <c r="Q621" s="1"/>
  <c r="Q623" s="1"/>
  <c r="O620"/>
  <c r="O621" s="1"/>
  <c r="O623" s="1"/>
  <c r="M620"/>
  <c r="M621" s="1"/>
  <c r="M623" s="1"/>
  <c r="K620"/>
  <c r="K621" s="1"/>
  <c r="K623" s="1"/>
  <c r="I620"/>
  <c r="I621" s="1"/>
  <c r="I623" s="1"/>
  <c r="G620"/>
  <c r="G621" s="1"/>
  <c r="G623" s="1"/>
  <c r="E620"/>
  <c r="E621" s="1"/>
  <c r="E623" s="1"/>
  <c r="C620"/>
  <c r="C621" s="1"/>
  <c r="C623" s="1"/>
  <c r="Q572"/>
  <c r="Q574" s="1"/>
  <c r="K572"/>
  <c r="K574" s="1"/>
  <c r="E572"/>
  <c r="E574" s="1"/>
  <c r="E563"/>
  <c r="E565" s="1"/>
  <c r="E567" s="1"/>
  <c r="K563"/>
  <c r="K565" s="1"/>
  <c r="K567" s="1"/>
  <c r="Q563"/>
  <c r="Q565" s="1"/>
  <c r="Q567" s="1"/>
  <c r="V848"/>
  <c r="W848" s="1"/>
  <c r="B850"/>
  <c r="B855"/>
  <c r="B892"/>
  <c r="V890"/>
  <c r="W890" s="1"/>
  <c r="V918"/>
  <c r="W918" s="1"/>
  <c r="B920"/>
  <c r="V939"/>
  <c r="W939" s="1"/>
  <c r="B941"/>
  <c r="V988"/>
  <c r="W988" s="1"/>
  <c r="B990"/>
  <c r="B1025"/>
  <c r="V1023"/>
  <c r="W1023" s="1"/>
  <c r="B755"/>
  <c r="B750"/>
  <c r="V650"/>
  <c r="W650" s="1"/>
  <c r="B652"/>
  <c r="V652" s="1"/>
  <c r="B727"/>
  <c r="B645"/>
  <c r="V645" s="1"/>
  <c r="V643"/>
  <c r="W643" s="1"/>
  <c r="B720"/>
  <c r="B666"/>
  <c r="U217"/>
  <c r="B228"/>
  <c r="B130"/>
  <c r="B305" i="4"/>
  <c r="E305"/>
  <c r="H305"/>
  <c r="K305"/>
  <c r="N305"/>
  <c r="Q305"/>
  <c r="T305"/>
  <c r="B370"/>
  <c r="E375"/>
  <c r="E354"/>
  <c r="H375"/>
  <c r="H354"/>
  <c r="K375"/>
  <c r="K354"/>
  <c r="N375"/>
  <c r="N354"/>
  <c r="Q375"/>
  <c r="Q354"/>
  <c r="B354"/>
  <c r="V249"/>
  <c r="W249" s="1"/>
  <c r="B377"/>
  <c r="B328"/>
  <c r="V326"/>
  <c r="W326" s="1"/>
  <c r="B314"/>
  <c r="V312"/>
  <c r="W312" s="1"/>
  <c r="B300"/>
  <c r="V298"/>
  <c r="W298" s="1"/>
  <c r="V284"/>
  <c r="W284" s="1"/>
  <c r="B279"/>
  <c r="V277"/>
  <c r="W277" s="1"/>
  <c r="B363"/>
  <c r="V333"/>
  <c r="W333" s="1"/>
  <c r="V319"/>
  <c r="W319" s="1"/>
  <c r="B293"/>
  <c r="V291"/>
  <c r="W291" s="1"/>
  <c r="V44"/>
  <c r="W44" s="1"/>
  <c r="B270"/>
  <c r="V263"/>
  <c r="W263" s="1"/>
  <c r="B179"/>
  <c r="H217" i="13"/>
  <c r="T217"/>
  <c r="Q217"/>
  <c r="N217"/>
  <c r="K217"/>
  <c r="E217"/>
  <c r="V15"/>
  <c r="W15" s="1"/>
  <c r="V17"/>
  <c r="W17" s="1"/>
  <c r="V43" i="4"/>
  <c r="W43" s="1"/>
  <c r="V151" i="13"/>
  <c r="W151" s="1"/>
  <c r="V150"/>
  <c r="W150" s="1"/>
  <c r="C185"/>
  <c r="F185"/>
  <c r="I185"/>
  <c r="L185"/>
  <c r="O185"/>
  <c r="R185"/>
  <c r="D185"/>
  <c r="G185"/>
  <c r="J185"/>
  <c r="M185"/>
  <c r="P185"/>
  <c r="S185"/>
  <c r="V141"/>
  <c r="W141" s="1"/>
  <c r="V110"/>
  <c r="W110" s="1"/>
  <c r="V106"/>
  <c r="W106" s="1"/>
  <c r="V107"/>
  <c r="W107" s="1"/>
  <c r="V109"/>
  <c r="W109" s="1"/>
  <c r="V111"/>
  <c r="W111" s="1"/>
  <c r="V105"/>
  <c r="W105" s="1"/>
  <c r="V108"/>
  <c r="W108" s="1"/>
  <c r="V32"/>
  <c r="W32" s="1"/>
  <c r="V33"/>
  <c r="W33" s="1"/>
  <c r="V34"/>
  <c r="W34" s="1"/>
  <c r="V35"/>
  <c r="W35" s="1"/>
  <c r="V36"/>
  <c r="W36" s="1"/>
  <c r="V37"/>
  <c r="W37" s="1"/>
  <c r="V38"/>
  <c r="W38" s="1"/>
  <c r="V39"/>
  <c r="W39" s="1"/>
  <c r="V40"/>
  <c r="W40" s="1"/>
  <c r="V41"/>
  <c r="W41" s="1"/>
  <c r="V42"/>
  <c r="W42" s="1"/>
  <c r="V43"/>
  <c r="W43" s="1"/>
  <c r="V29"/>
  <c r="W29" s="1"/>
  <c r="V97"/>
  <c r="W97" s="1"/>
  <c r="V98"/>
  <c r="W98" s="1"/>
  <c r="V99"/>
  <c r="W99" s="1"/>
  <c r="V101"/>
  <c r="W101" s="1"/>
  <c r="V102"/>
  <c r="W102" s="1"/>
  <c r="V103"/>
  <c r="W103" s="1"/>
  <c r="V104"/>
  <c r="W104" s="1"/>
  <c r="V153"/>
  <c r="W153" s="1"/>
  <c r="V31"/>
  <c r="W31" s="1"/>
  <c r="V30"/>
  <c r="W30" s="1"/>
  <c r="V100"/>
  <c r="W100" s="1"/>
  <c r="V73"/>
  <c r="W73" s="1"/>
  <c r="V74"/>
  <c r="W74" s="1"/>
  <c r="V75"/>
  <c r="W75" s="1"/>
  <c r="V76"/>
  <c r="W76" s="1"/>
  <c r="V77"/>
  <c r="W77" s="1"/>
  <c r="V78"/>
  <c r="W78" s="1"/>
  <c r="V79"/>
  <c r="W79" s="1"/>
  <c r="V80"/>
  <c r="W80" s="1"/>
  <c r="V81"/>
  <c r="W81" s="1"/>
  <c r="V82"/>
  <c r="W82" s="1"/>
  <c r="V83"/>
  <c r="W83" s="1"/>
  <c r="V84"/>
  <c r="W84" s="1"/>
  <c r="V85"/>
  <c r="W85" s="1"/>
  <c r="V86"/>
  <c r="W86" s="1"/>
  <c r="V87"/>
  <c r="W87" s="1"/>
  <c r="V88"/>
  <c r="W88" s="1"/>
  <c r="V89"/>
  <c r="W89" s="1"/>
  <c r="V90"/>
  <c r="W90" s="1"/>
  <c r="V184"/>
  <c r="W184" s="1"/>
  <c r="V14"/>
  <c r="W14" s="1"/>
  <c r="V96"/>
  <c r="W96" s="1"/>
  <c r="V152"/>
  <c r="W152" s="1"/>
  <c r="V183"/>
  <c r="W183" s="1"/>
  <c r="T53" i="4"/>
  <c r="T340" s="1"/>
  <c r="T54"/>
  <c r="T347" s="1"/>
  <c r="T55"/>
  <c r="T56"/>
  <c r="T361" s="1"/>
  <c r="T363" s="1"/>
  <c r="T365" s="1"/>
  <c r="T57"/>
  <c r="T368" s="1"/>
  <c r="T370" s="1"/>
  <c r="T372" s="1"/>
  <c r="V662" i="13" l="1"/>
  <c r="W662" s="1"/>
  <c r="B289"/>
  <c r="B317"/>
  <c r="B409"/>
  <c r="B416" s="1"/>
  <c r="B290"/>
  <c r="B21" i="15"/>
  <c r="V666" i="13"/>
  <c r="V827"/>
  <c r="W827" s="1"/>
  <c r="V664"/>
  <c r="W664" s="1"/>
  <c r="V437"/>
  <c r="W437" s="1"/>
  <c r="N384"/>
  <c r="N386" s="1"/>
  <c r="H384"/>
  <c r="H386" s="1"/>
  <c r="E384"/>
  <c r="E386" s="1"/>
  <c r="U384"/>
  <c r="U386" s="1"/>
  <c r="B23" i="15"/>
  <c r="T384" i="13"/>
  <c r="T386" s="1"/>
  <c r="Q384"/>
  <c r="Q386" s="1"/>
  <c r="K384"/>
  <c r="K386" s="1"/>
  <c r="P274"/>
  <c r="R274"/>
  <c r="T274"/>
  <c r="C274"/>
  <c r="E274"/>
  <c r="G274"/>
  <c r="I274"/>
  <c r="K274"/>
  <c r="M274"/>
  <c r="O274"/>
  <c r="Q274"/>
  <c r="S274"/>
  <c r="U274"/>
  <c r="N274"/>
  <c r="D274"/>
  <c r="F274"/>
  <c r="H274"/>
  <c r="J274"/>
  <c r="L274"/>
  <c r="F346"/>
  <c r="F350" s="1"/>
  <c r="F251"/>
  <c r="I346"/>
  <c r="I350" s="1"/>
  <c r="I251"/>
  <c r="O346"/>
  <c r="O350" s="1"/>
  <c r="O251"/>
  <c r="D346"/>
  <c r="D350" s="1"/>
  <c r="D251"/>
  <c r="S346"/>
  <c r="S350" s="1"/>
  <c r="S251"/>
  <c r="C346"/>
  <c r="C350" s="1"/>
  <c r="C251"/>
  <c r="P346"/>
  <c r="P350" s="1"/>
  <c r="P251"/>
  <c r="E346"/>
  <c r="E350" s="1"/>
  <c r="E251"/>
  <c r="U346"/>
  <c r="U350" s="1"/>
  <c r="U251"/>
  <c r="T346"/>
  <c r="T350" s="1"/>
  <c r="T251"/>
  <c r="N346"/>
  <c r="N350" s="1"/>
  <c r="N251"/>
  <c r="B386"/>
  <c r="B292"/>
  <c r="V869"/>
  <c r="W869" s="1"/>
  <c r="V267"/>
  <c r="W267" s="1"/>
  <c r="V876"/>
  <c r="W876" s="1"/>
  <c r="V749"/>
  <c r="W749" s="1"/>
  <c r="V742"/>
  <c r="W742" s="1"/>
  <c r="B230"/>
  <c r="V515"/>
  <c r="W515" s="1"/>
  <c r="C516"/>
  <c r="E441"/>
  <c r="V441" s="1"/>
  <c r="V439"/>
  <c r="W439" s="1"/>
  <c r="P725"/>
  <c r="P727" s="1"/>
  <c r="P729" s="1"/>
  <c r="J725"/>
  <c r="J727" s="1"/>
  <c r="J729" s="1"/>
  <c r="D725"/>
  <c r="D727" s="1"/>
  <c r="D729" s="1"/>
  <c r="O725"/>
  <c r="O727" s="1"/>
  <c r="O729" s="1"/>
  <c r="I725"/>
  <c r="I727" s="1"/>
  <c r="I729" s="1"/>
  <c r="C725"/>
  <c r="B722"/>
  <c r="B729"/>
  <c r="V755"/>
  <c r="W755" s="1"/>
  <c r="B757"/>
  <c r="V990"/>
  <c r="W990" s="1"/>
  <c r="B992"/>
  <c r="V992" s="1"/>
  <c r="V941"/>
  <c r="W941" s="1"/>
  <c r="B943"/>
  <c r="V943" s="1"/>
  <c r="B922"/>
  <c r="V922" s="1"/>
  <c r="V920"/>
  <c r="W920" s="1"/>
  <c r="B857"/>
  <c r="V855"/>
  <c r="W855" s="1"/>
  <c r="B852"/>
  <c r="V852" s="1"/>
  <c r="V850"/>
  <c r="W850" s="1"/>
  <c r="B831"/>
  <c r="V831" s="1"/>
  <c r="V829"/>
  <c r="W829" s="1"/>
  <c r="V620"/>
  <c r="W620" s="1"/>
  <c r="U621"/>
  <c r="U623" s="1"/>
  <c r="V969"/>
  <c r="W969" s="1"/>
  <c r="B971"/>
  <c r="V971" s="1"/>
  <c r="V871"/>
  <c r="W871" s="1"/>
  <c r="B873"/>
  <c r="V873" s="1"/>
  <c r="B838"/>
  <c r="V838" s="1"/>
  <c r="V836"/>
  <c r="W836" s="1"/>
  <c r="S725"/>
  <c r="S727" s="1"/>
  <c r="S729" s="1"/>
  <c r="M725"/>
  <c r="M727" s="1"/>
  <c r="M729" s="1"/>
  <c r="G725"/>
  <c r="G727" s="1"/>
  <c r="G729" s="1"/>
  <c r="R725"/>
  <c r="R727" s="1"/>
  <c r="R729" s="1"/>
  <c r="L725"/>
  <c r="L727" s="1"/>
  <c r="L729" s="1"/>
  <c r="F725"/>
  <c r="F727" s="1"/>
  <c r="F729" s="1"/>
  <c r="V750"/>
  <c r="W750" s="1"/>
  <c r="B752"/>
  <c r="V752" s="1"/>
  <c r="V1025"/>
  <c r="W1025" s="1"/>
  <c r="B1027"/>
  <c r="V1027" s="1"/>
  <c r="V892"/>
  <c r="W892" s="1"/>
  <c r="B894"/>
  <c r="V894" s="1"/>
  <c r="V878"/>
  <c r="W878" s="1"/>
  <c r="B880"/>
  <c r="V880" s="1"/>
  <c r="B745"/>
  <c r="V745" s="1"/>
  <c r="V743"/>
  <c r="W743" s="1"/>
  <c r="B964"/>
  <c r="V964" s="1"/>
  <c r="V962"/>
  <c r="W962" s="1"/>
  <c r="V948"/>
  <c r="W948" s="1"/>
  <c r="B950"/>
  <c r="V950" s="1"/>
  <c r="V934"/>
  <c r="W934" s="1"/>
  <c r="B936"/>
  <c r="V936" s="1"/>
  <c r="B901"/>
  <c r="V901" s="1"/>
  <c r="V899"/>
  <c r="W899" s="1"/>
  <c r="V885"/>
  <c r="W885" s="1"/>
  <c r="B887"/>
  <c r="V887" s="1"/>
  <c r="B845"/>
  <c r="V845" s="1"/>
  <c r="V843"/>
  <c r="W843" s="1"/>
  <c r="V563"/>
  <c r="W563" s="1"/>
  <c r="B565"/>
  <c r="V501"/>
  <c r="W501" s="1"/>
  <c r="B502"/>
  <c r="V473"/>
  <c r="W473" s="1"/>
  <c r="B474"/>
  <c r="V571"/>
  <c r="W571" s="1"/>
  <c r="B572"/>
  <c r="B623"/>
  <c r="B455"/>
  <c r="V455" s="1"/>
  <c r="V453"/>
  <c r="W453" s="1"/>
  <c r="V613"/>
  <c r="W613" s="1"/>
  <c r="B614"/>
  <c r="B460"/>
  <c r="V459"/>
  <c r="W459" s="1"/>
  <c r="B607"/>
  <c r="V606"/>
  <c r="W606" s="1"/>
  <c r="B467"/>
  <c r="V466"/>
  <c r="W466" s="1"/>
  <c r="V578"/>
  <c r="W578" s="1"/>
  <c r="B579"/>
  <c r="B432"/>
  <c r="V431"/>
  <c r="W431" s="1"/>
  <c r="V557"/>
  <c r="W557" s="1"/>
  <c r="B558"/>
  <c r="V536"/>
  <c r="W536" s="1"/>
  <c r="B537"/>
  <c r="C170"/>
  <c r="C176" s="1"/>
  <c r="G170"/>
  <c r="G176" s="1"/>
  <c r="K170"/>
  <c r="K176" s="1"/>
  <c r="K228"/>
  <c r="O170"/>
  <c r="O176" s="1"/>
  <c r="S170"/>
  <c r="S176" s="1"/>
  <c r="D170"/>
  <c r="D176" s="1"/>
  <c r="H170"/>
  <c r="H176" s="1"/>
  <c r="H228"/>
  <c r="L170"/>
  <c r="L176" s="1"/>
  <c r="P170"/>
  <c r="P176" s="1"/>
  <c r="T170"/>
  <c r="T176" s="1"/>
  <c r="T228"/>
  <c r="E170"/>
  <c r="E176" s="1"/>
  <c r="E228"/>
  <c r="I170"/>
  <c r="I176" s="1"/>
  <c r="M170"/>
  <c r="M176" s="1"/>
  <c r="Q170"/>
  <c r="Q176" s="1"/>
  <c r="Q228"/>
  <c r="U170"/>
  <c r="U228"/>
  <c r="F170"/>
  <c r="F176" s="1"/>
  <c r="J170"/>
  <c r="J176" s="1"/>
  <c r="N170"/>
  <c r="N176" s="1"/>
  <c r="N228"/>
  <c r="R170"/>
  <c r="R176" s="1"/>
  <c r="B172"/>
  <c r="B62"/>
  <c r="Q377" i="4"/>
  <c r="Q379" s="1"/>
  <c r="E377"/>
  <c r="E379" s="1"/>
  <c r="V305"/>
  <c r="W305" s="1"/>
  <c r="N377"/>
  <c r="N379" s="1"/>
  <c r="H377"/>
  <c r="H379" s="1"/>
  <c r="K377"/>
  <c r="K379" s="1"/>
  <c r="V256"/>
  <c r="W256" s="1"/>
  <c r="V370"/>
  <c r="W370" s="1"/>
  <c r="B372"/>
  <c r="V372" s="1"/>
  <c r="T375"/>
  <c r="V375" s="1"/>
  <c r="W375" s="1"/>
  <c r="T354"/>
  <c r="V368"/>
  <c r="W368" s="1"/>
  <c r="B181"/>
  <c r="V293"/>
  <c r="W293" s="1"/>
  <c r="B295"/>
  <c r="V295" s="1"/>
  <c r="B365"/>
  <c r="V365" s="1"/>
  <c r="V363"/>
  <c r="W363" s="1"/>
  <c r="V279"/>
  <c r="W279" s="1"/>
  <c r="B281"/>
  <c r="V281" s="1"/>
  <c r="V300"/>
  <c r="W300" s="1"/>
  <c r="B302"/>
  <c r="V302" s="1"/>
  <c r="B316"/>
  <c r="V316" s="1"/>
  <c r="V314"/>
  <c r="W314" s="1"/>
  <c r="B330"/>
  <c r="V330" s="1"/>
  <c r="V328"/>
  <c r="W328" s="1"/>
  <c r="B272"/>
  <c r="V270"/>
  <c r="W270" s="1"/>
  <c r="B379"/>
  <c r="V347"/>
  <c r="W347" s="1"/>
  <c r="V361"/>
  <c r="W361" s="1"/>
  <c r="V340"/>
  <c r="W340" s="1"/>
  <c r="K127" i="13"/>
  <c r="N127"/>
  <c r="T127"/>
  <c r="E127"/>
  <c r="Q127"/>
  <c r="P186"/>
  <c r="P212" s="1"/>
  <c r="J186"/>
  <c r="J212" s="1"/>
  <c r="D186"/>
  <c r="D212" s="1"/>
  <c r="O186"/>
  <c r="O212" s="1"/>
  <c r="I186"/>
  <c r="I212" s="1"/>
  <c r="S186"/>
  <c r="S212" s="1"/>
  <c r="S213" s="1"/>
  <c r="M186"/>
  <c r="M212" s="1"/>
  <c r="G186"/>
  <c r="G212" s="1"/>
  <c r="R186"/>
  <c r="R212" s="1"/>
  <c r="L186"/>
  <c r="L212" s="1"/>
  <c r="F186"/>
  <c r="F212" s="1"/>
  <c r="D127"/>
  <c r="L127"/>
  <c r="P127"/>
  <c r="I127"/>
  <c r="M127"/>
  <c r="U127"/>
  <c r="F127"/>
  <c r="J127"/>
  <c r="R127"/>
  <c r="C127"/>
  <c r="G127"/>
  <c r="O127"/>
  <c r="S127"/>
  <c r="V125"/>
  <c r="W125" s="1"/>
  <c r="F59"/>
  <c r="J59"/>
  <c r="R59"/>
  <c r="C59"/>
  <c r="G59"/>
  <c r="O59"/>
  <c r="S59"/>
  <c r="D59"/>
  <c r="L59"/>
  <c r="P59"/>
  <c r="I59"/>
  <c r="M59"/>
  <c r="U59"/>
  <c r="E59"/>
  <c r="K59"/>
  <c r="Q59"/>
  <c r="H59"/>
  <c r="N59"/>
  <c r="T59"/>
  <c r="V57"/>
  <c r="W57" s="1"/>
  <c r="C63"/>
  <c r="C186"/>
  <c r="C212" s="1"/>
  <c r="V185"/>
  <c r="W185" s="1"/>
  <c r="V124"/>
  <c r="W124" s="1"/>
  <c r="V56"/>
  <c r="W56" s="1"/>
  <c r="V50"/>
  <c r="W50" s="1"/>
  <c r="C70" i="4"/>
  <c r="C320" s="1"/>
  <c r="C62"/>
  <c r="K62"/>
  <c r="Q62"/>
  <c r="U62"/>
  <c r="D62"/>
  <c r="F62"/>
  <c r="H62"/>
  <c r="J62"/>
  <c r="L62"/>
  <c r="N62"/>
  <c r="P62"/>
  <c r="R62"/>
  <c r="T62"/>
  <c r="T341" s="1"/>
  <c r="B62"/>
  <c r="E62"/>
  <c r="G62"/>
  <c r="I62"/>
  <c r="M62"/>
  <c r="O62"/>
  <c r="S62"/>
  <c r="T104"/>
  <c r="T208" s="1"/>
  <c r="N104"/>
  <c r="N208" s="1"/>
  <c r="H104"/>
  <c r="H208" s="1"/>
  <c r="B104"/>
  <c r="Q103"/>
  <c r="K103"/>
  <c r="E103"/>
  <c r="Q104"/>
  <c r="Q208" s="1"/>
  <c r="K104"/>
  <c r="K208" s="1"/>
  <c r="E104"/>
  <c r="E208" s="1"/>
  <c r="T103"/>
  <c r="N103"/>
  <c r="H103"/>
  <c r="C25"/>
  <c r="E25"/>
  <c r="G25"/>
  <c r="I25"/>
  <c r="K25"/>
  <c r="M25"/>
  <c r="O25"/>
  <c r="Q25"/>
  <c r="S25"/>
  <c r="U25"/>
  <c r="C26"/>
  <c r="C185" s="1"/>
  <c r="E26"/>
  <c r="E185" s="1"/>
  <c r="G26"/>
  <c r="G185" s="1"/>
  <c r="I26"/>
  <c r="I185" s="1"/>
  <c r="K26"/>
  <c r="K185" s="1"/>
  <c r="M26"/>
  <c r="M185" s="1"/>
  <c r="O26"/>
  <c r="O185" s="1"/>
  <c r="Q26"/>
  <c r="Q185" s="1"/>
  <c r="S26"/>
  <c r="S185" s="1"/>
  <c r="U26"/>
  <c r="U185" s="1"/>
  <c r="C27"/>
  <c r="C150" s="1"/>
  <c r="C151" s="1"/>
  <c r="C153" s="1"/>
  <c r="E27"/>
  <c r="E150" s="1"/>
  <c r="E151" s="1"/>
  <c r="E153" s="1"/>
  <c r="G27"/>
  <c r="G150" s="1"/>
  <c r="G151" s="1"/>
  <c r="G153" s="1"/>
  <c r="I27"/>
  <c r="I150" s="1"/>
  <c r="I151" s="1"/>
  <c r="I153" s="1"/>
  <c r="K27"/>
  <c r="K150" s="1"/>
  <c r="K151" s="1"/>
  <c r="K153" s="1"/>
  <c r="M27"/>
  <c r="M150" s="1"/>
  <c r="M151" s="1"/>
  <c r="M153" s="1"/>
  <c r="O27"/>
  <c r="O150" s="1"/>
  <c r="O151" s="1"/>
  <c r="O153" s="1"/>
  <c r="Q27"/>
  <c r="Q150" s="1"/>
  <c r="Q151" s="1"/>
  <c r="Q153" s="1"/>
  <c r="S27"/>
  <c r="S150" s="1"/>
  <c r="S151" s="1"/>
  <c r="S153" s="1"/>
  <c r="U27"/>
  <c r="U150" s="1"/>
  <c r="U151" s="1"/>
  <c r="U153" s="1"/>
  <c r="C63"/>
  <c r="C348" s="1"/>
  <c r="E63"/>
  <c r="E348" s="1"/>
  <c r="G63"/>
  <c r="G348" s="1"/>
  <c r="I63"/>
  <c r="I348" s="1"/>
  <c r="K63"/>
  <c r="K348" s="1"/>
  <c r="M63"/>
  <c r="M348" s="1"/>
  <c r="O63"/>
  <c r="O348" s="1"/>
  <c r="Q63"/>
  <c r="Q348" s="1"/>
  <c r="S63"/>
  <c r="S348" s="1"/>
  <c r="U63"/>
  <c r="U348" s="1"/>
  <c r="C64"/>
  <c r="C285" s="1"/>
  <c r="C286" s="1"/>
  <c r="C288" s="1"/>
  <c r="E64"/>
  <c r="E285" s="1"/>
  <c r="E286" s="1"/>
  <c r="E288" s="1"/>
  <c r="G64"/>
  <c r="G285" s="1"/>
  <c r="G286" s="1"/>
  <c r="G288" s="1"/>
  <c r="I64"/>
  <c r="I285" s="1"/>
  <c r="I286" s="1"/>
  <c r="I288" s="1"/>
  <c r="K64"/>
  <c r="K285" s="1"/>
  <c r="K286" s="1"/>
  <c r="K288" s="1"/>
  <c r="M64"/>
  <c r="M285" s="1"/>
  <c r="M286" s="1"/>
  <c r="M288" s="1"/>
  <c r="O64"/>
  <c r="O285" s="1"/>
  <c r="O286" s="1"/>
  <c r="O288" s="1"/>
  <c r="Q64"/>
  <c r="Q285" s="1"/>
  <c r="Q286" s="1"/>
  <c r="Q288" s="1"/>
  <c r="S64"/>
  <c r="S285" s="1"/>
  <c r="S286" s="1"/>
  <c r="S288" s="1"/>
  <c r="U64"/>
  <c r="U285" s="1"/>
  <c r="U286" s="1"/>
  <c r="U288" s="1"/>
  <c r="C65"/>
  <c r="E65"/>
  <c r="G65"/>
  <c r="I65"/>
  <c r="K65"/>
  <c r="M65"/>
  <c r="O65"/>
  <c r="Q65"/>
  <c r="S65"/>
  <c r="U65"/>
  <c r="C66"/>
  <c r="C306" s="1"/>
  <c r="E66"/>
  <c r="E306" s="1"/>
  <c r="G66"/>
  <c r="G306" s="1"/>
  <c r="I66"/>
  <c r="I306" s="1"/>
  <c r="K66"/>
  <c r="K306" s="1"/>
  <c r="M66"/>
  <c r="M306" s="1"/>
  <c r="O66"/>
  <c r="O306" s="1"/>
  <c r="Q66"/>
  <c r="Q306" s="1"/>
  <c r="S66"/>
  <c r="S306" s="1"/>
  <c r="U66"/>
  <c r="U306" s="1"/>
  <c r="C67"/>
  <c r="C355" s="1"/>
  <c r="E67"/>
  <c r="E355" s="1"/>
  <c r="G67"/>
  <c r="G355" s="1"/>
  <c r="I67"/>
  <c r="I355" s="1"/>
  <c r="K67"/>
  <c r="K355" s="1"/>
  <c r="M67"/>
  <c r="M355" s="1"/>
  <c r="O67"/>
  <c r="O355" s="1"/>
  <c r="Q67"/>
  <c r="Q355" s="1"/>
  <c r="S67"/>
  <c r="S355" s="1"/>
  <c r="U67"/>
  <c r="U355" s="1"/>
  <c r="C68"/>
  <c r="C257" s="1"/>
  <c r="E68"/>
  <c r="E257" s="1"/>
  <c r="G68"/>
  <c r="G257" s="1"/>
  <c r="I68"/>
  <c r="I257" s="1"/>
  <c r="K68"/>
  <c r="K257" s="1"/>
  <c r="M68"/>
  <c r="M257" s="1"/>
  <c r="O68"/>
  <c r="O257" s="1"/>
  <c r="Q68"/>
  <c r="Q257" s="1"/>
  <c r="S68"/>
  <c r="S257" s="1"/>
  <c r="U68"/>
  <c r="U257" s="1"/>
  <c r="C69"/>
  <c r="C250" s="1"/>
  <c r="E69"/>
  <c r="E250" s="1"/>
  <c r="G69"/>
  <c r="G250" s="1"/>
  <c r="I69"/>
  <c r="I250" s="1"/>
  <c r="K69"/>
  <c r="K250" s="1"/>
  <c r="M69"/>
  <c r="M250" s="1"/>
  <c r="O69"/>
  <c r="O250" s="1"/>
  <c r="Q69"/>
  <c r="Q250" s="1"/>
  <c r="S69"/>
  <c r="S250" s="1"/>
  <c r="U69"/>
  <c r="U250" s="1"/>
  <c r="U109"/>
  <c r="U209" s="1"/>
  <c r="S109"/>
  <c r="S209" s="1"/>
  <c r="Q109"/>
  <c r="Q209" s="1"/>
  <c r="O109"/>
  <c r="O209" s="1"/>
  <c r="M109"/>
  <c r="M209" s="1"/>
  <c r="K109"/>
  <c r="K209" s="1"/>
  <c r="I109"/>
  <c r="I209" s="1"/>
  <c r="G109"/>
  <c r="G209" s="1"/>
  <c r="E109"/>
  <c r="E209" s="1"/>
  <c r="C109"/>
  <c r="C209" s="1"/>
  <c r="U108"/>
  <c r="S108"/>
  <c r="Q108"/>
  <c r="O108"/>
  <c r="M108"/>
  <c r="K108"/>
  <c r="I108"/>
  <c r="G108"/>
  <c r="E108"/>
  <c r="C108"/>
  <c r="U91"/>
  <c r="U226" s="1"/>
  <c r="S91"/>
  <c r="S226" s="1"/>
  <c r="Q91"/>
  <c r="Q226" s="1"/>
  <c r="O91"/>
  <c r="O226" s="1"/>
  <c r="M91"/>
  <c r="M226" s="1"/>
  <c r="K91"/>
  <c r="K226" s="1"/>
  <c r="I91"/>
  <c r="I226" s="1"/>
  <c r="G91"/>
  <c r="G226" s="1"/>
  <c r="E91"/>
  <c r="E226" s="1"/>
  <c r="C91"/>
  <c r="C226" s="1"/>
  <c r="U90"/>
  <c r="U233" s="1"/>
  <c r="S90"/>
  <c r="S233" s="1"/>
  <c r="Q90"/>
  <c r="Q233" s="1"/>
  <c r="O90"/>
  <c r="O233" s="1"/>
  <c r="M90"/>
  <c r="M233" s="1"/>
  <c r="K90"/>
  <c r="K233" s="1"/>
  <c r="I90"/>
  <c r="I233" s="1"/>
  <c r="G90"/>
  <c r="G233" s="1"/>
  <c r="E90"/>
  <c r="E233" s="1"/>
  <c r="C90"/>
  <c r="C233" s="1"/>
  <c r="U89"/>
  <c r="S89"/>
  <c r="Q89"/>
  <c r="O89"/>
  <c r="M89"/>
  <c r="K89"/>
  <c r="I89"/>
  <c r="G89"/>
  <c r="E89"/>
  <c r="C89"/>
  <c r="U71"/>
  <c r="U264" s="1"/>
  <c r="S71"/>
  <c r="S264" s="1"/>
  <c r="Q71"/>
  <c r="Q264" s="1"/>
  <c r="O71"/>
  <c r="O264" s="1"/>
  <c r="M71"/>
  <c r="M264" s="1"/>
  <c r="K71"/>
  <c r="K264" s="1"/>
  <c r="I71"/>
  <c r="I264" s="1"/>
  <c r="G71"/>
  <c r="G264" s="1"/>
  <c r="E71"/>
  <c r="E264" s="1"/>
  <c r="C71"/>
  <c r="C264" s="1"/>
  <c r="U70"/>
  <c r="U320" s="1"/>
  <c r="S70"/>
  <c r="S320" s="1"/>
  <c r="Q70"/>
  <c r="Q320" s="1"/>
  <c r="O70"/>
  <c r="O320" s="1"/>
  <c r="M70"/>
  <c r="M320" s="1"/>
  <c r="K70"/>
  <c r="K320" s="1"/>
  <c r="I70"/>
  <c r="I320" s="1"/>
  <c r="G70"/>
  <c r="G320" s="1"/>
  <c r="E70"/>
  <c r="E320" s="1"/>
  <c r="T109"/>
  <c r="T209" s="1"/>
  <c r="R109"/>
  <c r="R209" s="1"/>
  <c r="P109"/>
  <c r="P209" s="1"/>
  <c r="N109"/>
  <c r="N209" s="1"/>
  <c r="L109"/>
  <c r="L209" s="1"/>
  <c r="J109"/>
  <c r="J209" s="1"/>
  <c r="H109"/>
  <c r="H209" s="1"/>
  <c r="F109"/>
  <c r="F209" s="1"/>
  <c r="D109"/>
  <c r="D209" s="1"/>
  <c r="B109"/>
  <c r="B209" s="1"/>
  <c r="T108"/>
  <c r="T216" s="1"/>
  <c r="R108"/>
  <c r="P108"/>
  <c r="N108"/>
  <c r="L108"/>
  <c r="J108"/>
  <c r="H108"/>
  <c r="F108"/>
  <c r="D108"/>
  <c r="B108"/>
  <c r="T91"/>
  <c r="T226" s="1"/>
  <c r="R91"/>
  <c r="R226" s="1"/>
  <c r="P91"/>
  <c r="P226" s="1"/>
  <c r="N91"/>
  <c r="N226" s="1"/>
  <c r="L91"/>
  <c r="L226" s="1"/>
  <c r="J91"/>
  <c r="J226" s="1"/>
  <c r="H91"/>
  <c r="H226" s="1"/>
  <c r="F91"/>
  <c r="F226" s="1"/>
  <c r="D91"/>
  <c r="D226" s="1"/>
  <c r="B91"/>
  <c r="B226" s="1"/>
  <c r="T90"/>
  <c r="T233" s="1"/>
  <c r="R90"/>
  <c r="R233" s="1"/>
  <c r="P90"/>
  <c r="P233" s="1"/>
  <c r="N90"/>
  <c r="N233" s="1"/>
  <c r="L90"/>
  <c r="L233" s="1"/>
  <c r="J90"/>
  <c r="J233" s="1"/>
  <c r="H90"/>
  <c r="H233" s="1"/>
  <c r="F90"/>
  <c r="F233" s="1"/>
  <c r="D90"/>
  <c r="D233" s="1"/>
  <c r="B90"/>
  <c r="T89"/>
  <c r="R89"/>
  <c r="P89"/>
  <c r="N89"/>
  <c r="L89"/>
  <c r="J89"/>
  <c r="H89"/>
  <c r="F89"/>
  <c r="D89"/>
  <c r="B89"/>
  <c r="T71"/>
  <c r="T264" s="1"/>
  <c r="R71"/>
  <c r="R264" s="1"/>
  <c r="P71"/>
  <c r="P264" s="1"/>
  <c r="N71"/>
  <c r="N264" s="1"/>
  <c r="L71"/>
  <c r="L264" s="1"/>
  <c r="J71"/>
  <c r="J264" s="1"/>
  <c r="H71"/>
  <c r="H264" s="1"/>
  <c r="F71"/>
  <c r="F264" s="1"/>
  <c r="D71"/>
  <c r="D264" s="1"/>
  <c r="B71"/>
  <c r="B264" s="1"/>
  <c r="T70"/>
  <c r="T320" s="1"/>
  <c r="R70"/>
  <c r="R320" s="1"/>
  <c r="P70"/>
  <c r="P320" s="1"/>
  <c r="N70"/>
  <c r="N320" s="1"/>
  <c r="L70"/>
  <c r="L320" s="1"/>
  <c r="J70"/>
  <c r="J320" s="1"/>
  <c r="H70"/>
  <c r="H320" s="1"/>
  <c r="F70"/>
  <c r="F320" s="1"/>
  <c r="D25"/>
  <c r="F25"/>
  <c r="H25"/>
  <c r="J25"/>
  <c r="L25"/>
  <c r="N25"/>
  <c r="P25"/>
  <c r="R25"/>
  <c r="T25"/>
  <c r="B26"/>
  <c r="D26"/>
  <c r="D185" s="1"/>
  <c r="F26"/>
  <c r="F185" s="1"/>
  <c r="H26"/>
  <c r="H185" s="1"/>
  <c r="J26"/>
  <c r="J185" s="1"/>
  <c r="L26"/>
  <c r="L185" s="1"/>
  <c r="N26"/>
  <c r="N185" s="1"/>
  <c r="P26"/>
  <c r="P185" s="1"/>
  <c r="R26"/>
  <c r="R185" s="1"/>
  <c r="T26"/>
  <c r="T185" s="1"/>
  <c r="B27"/>
  <c r="B150" s="1"/>
  <c r="D27"/>
  <c r="D150" s="1"/>
  <c r="D151" s="1"/>
  <c r="D153" s="1"/>
  <c r="F27"/>
  <c r="F150" s="1"/>
  <c r="F151" s="1"/>
  <c r="F153" s="1"/>
  <c r="H27"/>
  <c r="H150" s="1"/>
  <c r="H151" s="1"/>
  <c r="H153" s="1"/>
  <c r="J27"/>
  <c r="J150" s="1"/>
  <c r="J151" s="1"/>
  <c r="J153" s="1"/>
  <c r="L27"/>
  <c r="L150" s="1"/>
  <c r="L151" s="1"/>
  <c r="L153" s="1"/>
  <c r="N27"/>
  <c r="N150" s="1"/>
  <c r="N151" s="1"/>
  <c r="N153" s="1"/>
  <c r="P27"/>
  <c r="P150" s="1"/>
  <c r="P151" s="1"/>
  <c r="P153" s="1"/>
  <c r="R27"/>
  <c r="R150" s="1"/>
  <c r="R151" s="1"/>
  <c r="R153" s="1"/>
  <c r="T27"/>
  <c r="T150" s="1"/>
  <c r="T151" s="1"/>
  <c r="T153" s="1"/>
  <c r="B63"/>
  <c r="B348" s="1"/>
  <c r="D63"/>
  <c r="D348" s="1"/>
  <c r="F63"/>
  <c r="F348" s="1"/>
  <c r="H63"/>
  <c r="H348" s="1"/>
  <c r="J63"/>
  <c r="J348" s="1"/>
  <c r="L63"/>
  <c r="L348" s="1"/>
  <c r="N63"/>
  <c r="N348" s="1"/>
  <c r="P63"/>
  <c r="P348" s="1"/>
  <c r="R63"/>
  <c r="R348" s="1"/>
  <c r="T63"/>
  <c r="T348" s="1"/>
  <c r="B64"/>
  <c r="B285" s="1"/>
  <c r="D64"/>
  <c r="D285" s="1"/>
  <c r="D286" s="1"/>
  <c r="D288" s="1"/>
  <c r="F64"/>
  <c r="F285" s="1"/>
  <c r="F286" s="1"/>
  <c r="F288" s="1"/>
  <c r="H64"/>
  <c r="H285" s="1"/>
  <c r="H286" s="1"/>
  <c r="H288" s="1"/>
  <c r="J64"/>
  <c r="J285" s="1"/>
  <c r="J286" s="1"/>
  <c r="J288" s="1"/>
  <c r="L64"/>
  <c r="L285" s="1"/>
  <c r="L286" s="1"/>
  <c r="L288" s="1"/>
  <c r="N64"/>
  <c r="N285" s="1"/>
  <c r="N286" s="1"/>
  <c r="N288" s="1"/>
  <c r="P64"/>
  <c r="P285" s="1"/>
  <c r="P286" s="1"/>
  <c r="P288" s="1"/>
  <c r="R64"/>
  <c r="R285" s="1"/>
  <c r="R286" s="1"/>
  <c r="R288" s="1"/>
  <c r="T64"/>
  <c r="T285" s="1"/>
  <c r="T286" s="1"/>
  <c r="T288" s="1"/>
  <c r="B65"/>
  <c r="B334" s="1"/>
  <c r="D65"/>
  <c r="F65"/>
  <c r="H65"/>
  <c r="J65"/>
  <c r="L65"/>
  <c r="N65"/>
  <c r="P65"/>
  <c r="R65"/>
  <c r="T65"/>
  <c r="B66"/>
  <c r="B306" s="1"/>
  <c r="D66"/>
  <c r="D306" s="1"/>
  <c r="F66"/>
  <c r="F306" s="1"/>
  <c r="H66"/>
  <c r="J66"/>
  <c r="J306" s="1"/>
  <c r="L66"/>
  <c r="L306" s="1"/>
  <c r="N66"/>
  <c r="P66"/>
  <c r="P306" s="1"/>
  <c r="R66"/>
  <c r="R306" s="1"/>
  <c r="T66"/>
  <c r="B67"/>
  <c r="B355" s="1"/>
  <c r="D67"/>
  <c r="D355" s="1"/>
  <c r="F67"/>
  <c r="F355" s="1"/>
  <c r="H67"/>
  <c r="H355" s="1"/>
  <c r="J67"/>
  <c r="J355" s="1"/>
  <c r="L67"/>
  <c r="L355" s="1"/>
  <c r="N67"/>
  <c r="N355" s="1"/>
  <c r="P67"/>
  <c r="P355" s="1"/>
  <c r="R67"/>
  <c r="R355" s="1"/>
  <c r="T67"/>
  <c r="T355" s="1"/>
  <c r="B68"/>
  <c r="B257" s="1"/>
  <c r="D68"/>
  <c r="D257" s="1"/>
  <c r="F68"/>
  <c r="F257" s="1"/>
  <c r="H68"/>
  <c r="H257" s="1"/>
  <c r="J68"/>
  <c r="J257" s="1"/>
  <c r="L68"/>
  <c r="L257" s="1"/>
  <c r="N68"/>
  <c r="N257" s="1"/>
  <c r="P68"/>
  <c r="P257" s="1"/>
  <c r="R68"/>
  <c r="R257" s="1"/>
  <c r="T68"/>
  <c r="T257" s="1"/>
  <c r="B69"/>
  <c r="B250" s="1"/>
  <c r="D69"/>
  <c r="D250" s="1"/>
  <c r="F69"/>
  <c r="F250" s="1"/>
  <c r="H69"/>
  <c r="H250" s="1"/>
  <c r="J69"/>
  <c r="J250" s="1"/>
  <c r="L69"/>
  <c r="L250" s="1"/>
  <c r="N69"/>
  <c r="N250" s="1"/>
  <c r="P69"/>
  <c r="P250" s="1"/>
  <c r="R69"/>
  <c r="R250" s="1"/>
  <c r="T69"/>
  <c r="T250" s="1"/>
  <c r="B70"/>
  <c r="B320" s="1"/>
  <c r="D70"/>
  <c r="D320" s="1"/>
  <c r="V623" i="13" l="1"/>
  <c r="T178" i="4"/>
  <c r="T31"/>
  <c r="P178"/>
  <c r="P31"/>
  <c r="L178"/>
  <c r="L31"/>
  <c r="H178"/>
  <c r="H31"/>
  <c r="D178"/>
  <c r="D31"/>
  <c r="D240"/>
  <c r="D93"/>
  <c r="H240"/>
  <c r="H93"/>
  <c r="L240"/>
  <c r="L93"/>
  <c r="P240"/>
  <c r="P93"/>
  <c r="T240"/>
  <c r="T93"/>
  <c r="C240"/>
  <c r="C93"/>
  <c r="G240"/>
  <c r="G93"/>
  <c r="K240"/>
  <c r="K93"/>
  <c r="O240"/>
  <c r="O93"/>
  <c r="S240"/>
  <c r="S93"/>
  <c r="U178"/>
  <c r="U31"/>
  <c r="Q178"/>
  <c r="Q31"/>
  <c r="M178"/>
  <c r="M31"/>
  <c r="I178"/>
  <c r="I31"/>
  <c r="E178"/>
  <c r="E31"/>
  <c r="H201"/>
  <c r="H111"/>
  <c r="T201"/>
  <c r="T111"/>
  <c r="E201"/>
  <c r="E111"/>
  <c r="Q201"/>
  <c r="Q111"/>
  <c r="O341"/>
  <c r="O75"/>
  <c r="I341"/>
  <c r="I75"/>
  <c r="E341"/>
  <c r="E75"/>
  <c r="P341"/>
  <c r="P75"/>
  <c r="L341"/>
  <c r="L75"/>
  <c r="H341"/>
  <c r="H75"/>
  <c r="D341"/>
  <c r="D75"/>
  <c r="Q341"/>
  <c r="Q75"/>
  <c r="C341"/>
  <c r="C75"/>
  <c r="B185"/>
  <c r="B31"/>
  <c r="R178"/>
  <c r="R31"/>
  <c r="N178"/>
  <c r="N31"/>
  <c r="J178"/>
  <c r="J31"/>
  <c r="F178"/>
  <c r="F31"/>
  <c r="B240"/>
  <c r="B93"/>
  <c r="F240"/>
  <c r="F93"/>
  <c r="J240"/>
  <c r="J93"/>
  <c r="N240"/>
  <c r="N93"/>
  <c r="R240"/>
  <c r="R93"/>
  <c r="E240"/>
  <c r="E93"/>
  <c r="I240"/>
  <c r="I93"/>
  <c r="M240"/>
  <c r="M93"/>
  <c r="Q240"/>
  <c r="Q93"/>
  <c r="U240"/>
  <c r="U93"/>
  <c r="U216"/>
  <c r="U111"/>
  <c r="S178"/>
  <c r="S31"/>
  <c r="O178"/>
  <c r="O31"/>
  <c r="K178"/>
  <c r="K31"/>
  <c r="G178"/>
  <c r="G31"/>
  <c r="C178"/>
  <c r="C31"/>
  <c r="N201"/>
  <c r="N111"/>
  <c r="K201"/>
  <c r="K111"/>
  <c r="B208"/>
  <c r="B111"/>
  <c r="S341"/>
  <c r="S75"/>
  <c r="M341"/>
  <c r="M75"/>
  <c r="G341"/>
  <c r="G75"/>
  <c r="B341"/>
  <c r="B75"/>
  <c r="R341"/>
  <c r="R75"/>
  <c r="N341"/>
  <c r="N75"/>
  <c r="J341"/>
  <c r="J75"/>
  <c r="F341"/>
  <c r="F75"/>
  <c r="U341"/>
  <c r="U75"/>
  <c r="K341"/>
  <c r="K75"/>
  <c r="T75"/>
  <c r="J299" i="13"/>
  <c r="J392"/>
  <c r="M299"/>
  <c r="M392"/>
  <c r="P299"/>
  <c r="P307" s="1"/>
  <c r="P26" i="15" s="1"/>
  <c r="P392" i="13"/>
  <c r="D299"/>
  <c r="D307" s="1"/>
  <c r="D26" i="15" s="1"/>
  <c r="D392" i="13"/>
  <c r="O299"/>
  <c r="O307" s="1"/>
  <c r="O26" i="15" s="1"/>
  <c r="O392" i="13"/>
  <c r="K299"/>
  <c r="K317" s="1"/>
  <c r="K392"/>
  <c r="C299"/>
  <c r="C307" s="1"/>
  <c r="C26" i="15" s="1"/>
  <c r="C392" i="13"/>
  <c r="R299"/>
  <c r="R307" s="1"/>
  <c r="R26" i="15" s="1"/>
  <c r="R392" i="13"/>
  <c r="N299"/>
  <c r="N317" s="1"/>
  <c r="N392"/>
  <c r="F299"/>
  <c r="F307" s="1"/>
  <c r="F26" i="15" s="1"/>
  <c r="F392" i="13"/>
  <c r="Q299"/>
  <c r="Q317" s="1"/>
  <c r="Q392"/>
  <c r="I299"/>
  <c r="I307" s="1"/>
  <c r="I26" i="15" s="1"/>
  <c r="I392" i="13"/>
  <c r="E299"/>
  <c r="E317" s="1"/>
  <c r="E392"/>
  <c r="T299"/>
  <c r="T317" s="1"/>
  <c r="T392"/>
  <c r="L299"/>
  <c r="L307" s="1"/>
  <c r="L26" i="15" s="1"/>
  <c r="L392" i="13"/>
  <c r="H299"/>
  <c r="H317" s="1"/>
  <c r="H392"/>
  <c r="S299"/>
  <c r="S307" s="1"/>
  <c r="S26" i="15" s="1"/>
  <c r="S392" i="13"/>
  <c r="G299"/>
  <c r="G307" s="1"/>
  <c r="G26" i="15" s="1"/>
  <c r="G392" i="13"/>
  <c r="K409"/>
  <c r="K416" s="1"/>
  <c r="B325"/>
  <c r="N289"/>
  <c r="Q289"/>
  <c r="E289"/>
  <c r="T289"/>
  <c r="H289"/>
  <c r="K289"/>
  <c r="U176"/>
  <c r="N254"/>
  <c r="T254"/>
  <c r="T256" s="1"/>
  <c r="U254"/>
  <c r="U256" s="1"/>
  <c r="E254"/>
  <c r="E256" s="1"/>
  <c r="P254"/>
  <c r="P256" s="1"/>
  <c r="S254"/>
  <c r="S256" s="1"/>
  <c r="D254"/>
  <c r="D256" s="1"/>
  <c r="O254"/>
  <c r="O256" s="1"/>
  <c r="I254"/>
  <c r="I256" s="1"/>
  <c r="F254"/>
  <c r="F256" s="1"/>
  <c r="N352"/>
  <c r="T352"/>
  <c r="U352"/>
  <c r="E352"/>
  <c r="P352"/>
  <c r="S352"/>
  <c r="D352"/>
  <c r="O352"/>
  <c r="I352"/>
  <c r="F352"/>
  <c r="C254"/>
  <c r="N256"/>
  <c r="V18" i="15"/>
  <c r="W18" s="1"/>
  <c r="F399" i="13"/>
  <c r="I399"/>
  <c r="P399"/>
  <c r="D399"/>
  <c r="S399"/>
  <c r="O399"/>
  <c r="G399"/>
  <c r="C399"/>
  <c r="H346"/>
  <c r="H350" s="1"/>
  <c r="H251"/>
  <c r="K346"/>
  <c r="K350" s="1"/>
  <c r="K251"/>
  <c r="L346"/>
  <c r="L350" s="1"/>
  <c r="L251"/>
  <c r="Q346"/>
  <c r="Q350" s="1"/>
  <c r="Q251"/>
  <c r="R399"/>
  <c r="J399"/>
  <c r="J307"/>
  <c r="J26" i="15" s="1"/>
  <c r="M399" i="13"/>
  <c r="M307"/>
  <c r="M26" i="15" s="1"/>
  <c r="L399" i="13"/>
  <c r="J346"/>
  <c r="J350" s="1"/>
  <c r="J251"/>
  <c r="G346"/>
  <c r="G350" s="1"/>
  <c r="G251"/>
  <c r="R346"/>
  <c r="R350" s="1"/>
  <c r="R251"/>
  <c r="M346"/>
  <c r="M350" s="1"/>
  <c r="M251"/>
  <c r="N173"/>
  <c r="Q173"/>
  <c r="E173"/>
  <c r="T173"/>
  <c r="H173"/>
  <c r="K173"/>
  <c r="V272"/>
  <c r="W272" s="1"/>
  <c r="B274"/>
  <c r="V274" s="1"/>
  <c r="V621"/>
  <c r="W621" s="1"/>
  <c r="V354" i="4"/>
  <c r="W354" s="1"/>
  <c r="V66" i="13"/>
  <c r="W66" s="1"/>
  <c r="S169"/>
  <c r="S172" s="1"/>
  <c r="G169"/>
  <c r="G172" s="1"/>
  <c r="R169"/>
  <c r="R172" s="1"/>
  <c r="F130"/>
  <c r="M169"/>
  <c r="M172" s="1"/>
  <c r="P169"/>
  <c r="P172" s="1"/>
  <c r="D169"/>
  <c r="D172" s="1"/>
  <c r="Q169"/>
  <c r="Q172" s="1"/>
  <c r="T169"/>
  <c r="T172" s="1"/>
  <c r="N169"/>
  <c r="N172" s="1"/>
  <c r="V170"/>
  <c r="W170" s="1"/>
  <c r="R173"/>
  <c r="J173"/>
  <c r="F173"/>
  <c r="U173"/>
  <c r="M173"/>
  <c r="I173"/>
  <c r="P173"/>
  <c r="L173"/>
  <c r="D173"/>
  <c r="S173"/>
  <c r="O173"/>
  <c r="G173"/>
  <c r="C173"/>
  <c r="O169"/>
  <c r="O172" s="1"/>
  <c r="C169"/>
  <c r="C172" s="1"/>
  <c r="J130"/>
  <c r="U169"/>
  <c r="U172" s="1"/>
  <c r="I169"/>
  <c r="I172" s="1"/>
  <c r="L169"/>
  <c r="L172" s="1"/>
  <c r="E169"/>
  <c r="E172" s="1"/>
  <c r="H130"/>
  <c r="K169"/>
  <c r="K172" s="1"/>
  <c r="V516"/>
  <c r="W516" s="1"/>
  <c r="C518"/>
  <c r="V518" s="1"/>
  <c r="C213"/>
  <c r="C226" s="1"/>
  <c r="C228" s="1"/>
  <c r="C718"/>
  <c r="L213"/>
  <c r="L226" s="1"/>
  <c r="L228" s="1"/>
  <c r="L718"/>
  <c r="L720" s="1"/>
  <c r="L722" s="1"/>
  <c r="G213"/>
  <c r="G226" s="1"/>
  <c r="G228" s="1"/>
  <c r="G718"/>
  <c r="G720" s="1"/>
  <c r="G722" s="1"/>
  <c r="S226"/>
  <c r="S228" s="1"/>
  <c r="S718"/>
  <c r="S720" s="1"/>
  <c r="S722" s="1"/>
  <c r="O213"/>
  <c r="O226" s="1"/>
  <c r="O228" s="1"/>
  <c r="O718"/>
  <c r="O720" s="1"/>
  <c r="O722" s="1"/>
  <c r="J213"/>
  <c r="J226" s="1"/>
  <c r="J228" s="1"/>
  <c r="J718"/>
  <c r="J720" s="1"/>
  <c r="J722" s="1"/>
  <c r="B539"/>
  <c r="V539" s="1"/>
  <c r="V537"/>
  <c r="W537" s="1"/>
  <c r="V558"/>
  <c r="W558" s="1"/>
  <c r="B560"/>
  <c r="V560" s="1"/>
  <c r="V579"/>
  <c r="W579" s="1"/>
  <c r="B581"/>
  <c r="V581" s="1"/>
  <c r="B616"/>
  <c r="V616" s="1"/>
  <c r="V614"/>
  <c r="W614" s="1"/>
  <c r="B574"/>
  <c r="V574" s="1"/>
  <c r="V572"/>
  <c r="W572" s="1"/>
  <c r="B476"/>
  <c r="V476" s="1"/>
  <c r="V474"/>
  <c r="W474" s="1"/>
  <c r="V502"/>
  <c r="W502" s="1"/>
  <c r="B504"/>
  <c r="V504" s="1"/>
  <c r="B567"/>
  <c r="V567" s="1"/>
  <c r="V565"/>
  <c r="W565" s="1"/>
  <c r="V857"/>
  <c r="W857" s="1"/>
  <c r="B859"/>
  <c r="V859" s="1"/>
  <c r="F718"/>
  <c r="F720" s="1"/>
  <c r="F722" s="1"/>
  <c r="R213"/>
  <c r="R215" s="1"/>
  <c r="R221" s="1"/>
  <c r="R375" s="1"/>
  <c r="R718"/>
  <c r="R720" s="1"/>
  <c r="R722" s="1"/>
  <c r="M213"/>
  <c r="M215" s="1"/>
  <c r="M221" s="1"/>
  <c r="M375" s="1"/>
  <c r="M718"/>
  <c r="M720" s="1"/>
  <c r="M722" s="1"/>
  <c r="I213"/>
  <c r="I215" s="1"/>
  <c r="I221" s="1"/>
  <c r="I375" s="1"/>
  <c r="I718"/>
  <c r="I720" s="1"/>
  <c r="I722" s="1"/>
  <c r="D213"/>
  <c r="D215" s="1"/>
  <c r="D221" s="1"/>
  <c r="D375" s="1"/>
  <c r="D718"/>
  <c r="D720" s="1"/>
  <c r="D722" s="1"/>
  <c r="P213"/>
  <c r="P215" s="1"/>
  <c r="P221" s="1"/>
  <c r="P375" s="1"/>
  <c r="P718"/>
  <c r="P720" s="1"/>
  <c r="P722" s="1"/>
  <c r="V432"/>
  <c r="W432" s="1"/>
  <c r="B434"/>
  <c r="V434" s="1"/>
  <c r="V467"/>
  <c r="W467" s="1"/>
  <c r="B469"/>
  <c r="V469" s="1"/>
  <c r="V607"/>
  <c r="W607" s="1"/>
  <c r="B609"/>
  <c r="V609" s="1"/>
  <c r="V460"/>
  <c r="W460" s="1"/>
  <c r="B462"/>
  <c r="V462" s="1"/>
  <c r="V757"/>
  <c r="W757" s="1"/>
  <c r="B759"/>
  <c r="V759" s="1"/>
  <c r="C727"/>
  <c r="V725"/>
  <c r="W725" s="1"/>
  <c r="F213"/>
  <c r="D130"/>
  <c r="T130"/>
  <c r="B233" i="4"/>
  <c r="P356"/>
  <c r="P358" s="1"/>
  <c r="L356"/>
  <c r="L358" s="1"/>
  <c r="D356"/>
  <c r="D358" s="1"/>
  <c r="U356"/>
  <c r="U358" s="1"/>
  <c r="M356"/>
  <c r="M358" s="1"/>
  <c r="I356"/>
  <c r="I358" s="1"/>
  <c r="H356"/>
  <c r="H358" s="1"/>
  <c r="N356"/>
  <c r="N358" s="1"/>
  <c r="R356"/>
  <c r="R358" s="1"/>
  <c r="J356"/>
  <c r="J358" s="1"/>
  <c r="F356"/>
  <c r="F358" s="1"/>
  <c r="S356"/>
  <c r="S358" s="1"/>
  <c r="O356"/>
  <c r="O358" s="1"/>
  <c r="G356"/>
  <c r="G358" s="1"/>
  <c r="C356"/>
  <c r="C358" s="1"/>
  <c r="B356"/>
  <c r="E356"/>
  <c r="E358" s="1"/>
  <c r="K356"/>
  <c r="K358" s="1"/>
  <c r="Q356"/>
  <c r="Q358" s="1"/>
  <c r="B173" i="13"/>
  <c r="Q130"/>
  <c r="N130"/>
  <c r="H169"/>
  <c r="H172" s="1"/>
  <c r="K130"/>
  <c r="R251" i="4"/>
  <c r="R253" s="1"/>
  <c r="N251"/>
  <c r="N253" s="1"/>
  <c r="J251"/>
  <c r="J253" s="1"/>
  <c r="F251"/>
  <c r="F253" s="1"/>
  <c r="R258"/>
  <c r="R260" s="1"/>
  <c r="N258"/>
  <c r="N260" s="1"/>
  <c r="J258"/>
  <c r="J260" s="1"/>
  <c r="F258"/>
  <c r="F260" s="1"/>
  <c r="R307"/>
  <c r="R309" s="1"/>
  <c r="J307"/>
  <c r="J309" s="1"/>
  <c r="F307"/>
  <c r="F309" s="1"/>
  <c r="R349"/>
  <c r="R351" s="1"/>
  <c r="N349"/>
  <c r="N351" s="1"/>
  <c r="J349"/>
  <c r="J351" s="1"/>
  <c r="F349"/>
  <c r="F351" s="1"/>
  <c r="R186"/>
  <c r="R188" s="1"/>
  <c r="N186"/>
  <c r="N188" s="1"/>
  <c r="J186"/>
  <c r="J188" s="1"/>
  <c r="F186"/>
  <c r="F188" s="1"/>
  <c r="R179"/>
  <c r="R181" s="1"/>
  <c r="N179"/>
  <c r="N181" s="1"/>
  <c r="J179"/>
  <c r="J181" s="1"/>
  <c r="F179"/>
  <c r="F181" s="1"/>
  <c r="F321"/>
  <c r="F323" s="1"/>
  <c r="J321"/>
  <c r="J323" s="1"/>
  <c r="N321"/>
  <c r="N323" s="1"/>
  <c r="R321"/>
  <c r="R323" s="1"/>
  <c r="F265"/>
  <c r="F267" s="1"/>
  <c r="J265"/>
  <c r="J267" s="1"/>
  <c r="N265"/>
  <c r="N267" s="1"/>
  <c r="R265"/>
  <c r="R267" s="1"/>
  <c r="F241"/>
  <c r="F243" s="1"/>
  <c r="J241"/>
  <c r="J243" s="1"/>
  <c r="N241"/>
  <c r="N243" s="1"/>
  <c r="R241"/>
  <c r="R243" s="1"/>
  <c r="F227"/>
  <c r="F229" s="1"/>
  <c r="J227"/>
  <c r="J229" s="1"/>
  <c r="N227"/>
  <c r="N229" s="1"/>
  <c r="R227"/>
  <c r="R229" s="1"/>
  <c r="E321"/>
  <c r="E323" s="1"/>
  <c r="I321"/>
  <c r="I323" s="1"/>
  <c r="M321"/>
  <c r="M323" s="1"/>
  <c r="Q321"/>
  <c r="Q323" s="1"/>
  <c r="U321"/>
  <c r="U323" s="1"/>
  <c r="E265"/>
  <c r="E267" s="1"/>
  <c r="I265"/>
  <c r="I267" s="1"/>
  <c r="M265"/>
  <c r="M267" s="1"/>
  <c r="Q265"/>
  <c r="Q267" s="1"/>
  <c r="U265"/>
  <c r="U267" s="1"/>
  <c r="E241"/>
  <c r="E243" s="1"/>
  <c r="I241"/>
  <c r="I243" s="1"/>
  <c r="M241"/>
  <c r="M243" s="1"/>
  <c r="Q241"/>
  <c r="Q243" s="1"/>
  <c r="U241"/>
  <c r="U243" s="1"/>
  <c r="E227"/>
  <c r="E229" s="1"/>
  <c r="I227"/>
  <c r="I229" s="1"/>
  <c r="M227"/>
  <c r="M229" s="1"/>
  <c r="Q227"/>
  <c r="Q229" s="1"/>
  <c r="U227"/>
  <c r="U229" s="1"/>
  <c r="S251"/>
  <c r="S253" s="1"/>
  <c r="O251"/>
  <c r="O253" s="1"/>
  <c r="K251"/>
  <c r="K253" s="1"/>
  <c r="G251"/>
  <c r="G253" s="1"/>
  <c r="C251"/>
  <c r="C253" s="1"/>
  <c r="S258"/>
  <c r="S260" s="1"/>
  <c r="O258"/>
  <c r="O260" s="1"/>
  <c r="K258"/>
  <c r="K260" s="1"/>
  <c r="G258"/>
  <c r="G260" s="1"/>
  <c r="C258"/>
  <c r="C260" s="1"/>
  <c r="S307"/>
  <c r="S309" s="1"/>
  <c r="O307"/>
  <c r="O309" s="1"/>
  <c r="K307"/>
  <c r="K309" s="1"/>
  <c r="G307"/>
  <c r="G309" s="1"/>
  <c r="C307"/>
  <c r="C309" s="1"/>
  <c r="S349"/>
  <c r="S351" s="1"/>
  <c r="O349"/>
  <c r="O351" s="1"/>
  <c r="K349"/>
  <c r="K351" s="1"/>
  <c r="G349"/>
  <c r="G351" s="1"/>
  <c r="C349"/>
  <c r="C351" s="1"/>
  <c r="S186"/>
  <c r="S188" s="1"/>
  <c r="O186"/>
  <c r="O188" s="1"/>
  <c r="K186"/>
  <c r="K188" s="1"/>
  <c r="G186"/>
  <c r="G188" s="1"/>
  <c r="C186"/>
  <c r="C188" s="1"/>
  <c r="S179"/>
  <c r="S181" s="1"/>
  <c r="O179"/>
  <c r="O181" s="1"/>
  <c r="K179"/>
  <c r="K181" s="1"/>
  <c r="G179"/>
  <c r="G181" s="1"/>
  <c r="S342"/>
  <c r="S344" s="1"/>
  <c r="M342"/>
  <c r="M344" s="1"/>
  <c r="G342"/>
  <c r="G344" s="1"/>
  <c r="R342"/>
  <c r="R344" s="1"/>
  <c r="N342"/>
  <c r="N344" s="1"/>
  <c r="J342"/>
  <c r="J344" s="1"/>
  <c r="F342"/>
  <c r="F344" s="1"/>
  <c r="U342"/>
  <c r="U344" s="1"/>
  <c r="K342"/>
  <c r="K344" s="1"/>
  <c r="C321"/>
  <c r="C323" s="1"/>
  <c r="T377"/>
  <c r="D321"/>
  <c r="D323" s="1"/>
  <c r="T251"/>
  <c r="T253" s="1"/>
  <c r="P251"/>
  <c r="P253" s="1"/>
  <c r="L251"/>
  <c r="L253" s="1"/>
  <c r="H251"/>
  <c r="H253" s="1"/>
  <c r="D251"/>
  <c r="D253" s="1"/>
  <c r="T258"/>
  <c r="T260" s="1"/>
  <c r="P258"/>
  <c r="P260" s="1"/>
  <c r="L258"/>
  <c r="L260" s="1"/>
  <c r="H258"/>
  <c r="H260" s="1"/>
  <c r="D258"/>
  <c r="D260" s="1"/>
  <c r="P307"/>
  <c r="P309" s="1"/>
  <c r="L307"/>
  <c r="L309" s="1"/>
  <c r="D307"/>
  <c r="D309" s="1"/>
  <c r="T349"/>
  <c r="T351" s="1"/>
  <c r="P349"/>
  <c r="P351" s="1"/>
  <c r="L349"/>
  <c r="L351" s="1"/>
  <c r="H349"/>
  <c r="H351" s="1"/>
  <c r="D349"/>
  <c r="D351" s="1"/>
  <c r="T186"/>
  <c r="T188" s="1"/>
  <c r="P186"/>
  <c r="P188" s="1"/>
  <c r="L186"/>
  <c r="L188" s="1"/>
  <c r="H186"/>
  <c r="H188" s="1"/>
  <c r="D186"/>
  <c r="D188" s="1"/>
  <c r="T179"/>
  <c r="T181" s="1"/>
  <c r="P179"/>
  <c r="P181" s="1"/>
  <c r="L179"/>
  <c r="L181" s="1"/>
  <c r="H179"/>
  <c r="H181" s="1"/>
  <c r="D179"/>
  <c r="D181" s="1"/>
  <c r="H321"/>
  <c r="H323" s="1"/>
  <c r="L321"/>
  <c r="L323" s="1"/>
  <c r="P321"/>
  <c r="P323" s="1"/>
  <c r="T321"/>
  <c r="T323" s="1"/>
  <c r="D265"/>
  <c r="D267" s="1"/>
  <c r="H265"/>
  <c r="H267" s="1"/>
  <c r="L265"/>
  <c r="L267" s="1"/>
  <c r="P265"/>
  <c r="P267" s="1"/>
  <c r="T265"/>
  <c r="T267" s="1"/>
  <c r="D241"/>
  <c r="D243" s="1"/>
  <c r="H241"/>
  <c r="H243" s="1"/>
  <c r="L241"/>
  <c r="L243" s="1"/>
  <c r="P241"/>
  <c r="P243" s="1"/>
  <c r="T241"/>
  <c r="T243" s="1"/>
  <c r="D227"/>
  <c r="D229" s="1"/>
  <c r="H227"/>
  <c r="H229" s="1"/>
  <c r="L227"/>
  <c r="L229" s="1"/>
  <c r="P227"/>
  <c r="P229" s="1"/>
  <c r="T227"/>
  <c r="T229" s="1"/>
  <c r="G321"/>
  <c r="G323" s="1"/>
  <c r="K321"/>
  <c r="K323" s="1"/>
  <c r="O321"/>
  <c r="O323" s="1"/>
  <c r="S321"/>
  <c r="S323" s="1"/>
  <c r="C265"/>
  <c r="C267" s="1"/>
  <c r="G265"/>
  <c r="G267" s="1"/>
  <c r="K265"/>
  <c r="K267" s="1"/>
  <c r="O265"/>
  <c r="O267" s="1"/>
  <c r="S265"/>
  <c r="S267" s="1"/>
  <c r="C241"/>
  <c r="C243" s="1"/>
  <c r="G241"/>
  <c r="G243" s="1"/>
  <c r="K241"/>
  <c r="K243" s="1"/>
  <c r="O241"/>
  <c r="O243" s="1"/>
  <c r="S241"/>
  <c r="S243" s="1"/>
  <c r="C227"/>
  <c r="C229" s="1"/>
  <c r="G227"/>
  <c r="G229" s="1"/>
  <c r="K227"/>
  <c r="K229" s="1"/>
  <c r="O227"/>
  <c r="O229" s="1"/>
  <c r="S227"/>
  <c r="S229" s="1"/>
  <c r="U251"/>
  <c r="U253" s="1"/>
  <c r="Q251"/>
  <c r="Q253" s="1"/>
  <c r="M251"/>
  <c r="M253" s="1"/>
  <c r="I251"/>
  <c r="I253" s="1"/>
  <c r="E251"/>
  <c r="E253" s="1"/>
  <c r="U258"/>
  <c r="U260" s="1"/>
  <c r="Q258"/>
  <c r="Q260" s="1"/>
  <c r="M258"/>
  <c r="M260" s="1"/>
  <c r="I258"/>
  <c r="I260" s="1"/>
  <c r="E258"/>
  <c r="E260" s="1"/>
  <c r="U307"/>
  <c r="U309" s="1"/>
  <c r="Q307"/>
  <c r="Q309" s="1"/>
  <c r="M307"/>
  <c r="M309" s="1"/>
  <c r="I307"/>
  <c r="I309" s="1"/>
  <c r="E307"/>
  <c r="E309" s="1"/>
  <c r="U349"/>
  <c r="U351" s="1"/>
  <c r="Q349"/>
  <c r="Q351" s="1"/>
  <c r="M349"/>
  <c r="M351" s="1"/>
  <c r="I349"/>
  <c r="I351" s="1"/>
  <c r="E349"/>
  <c r="E351" s="1"/>
  <c r="U186"/>
  <c r="U188" s="1"/>
  <c r="Q186"/>
  <c r="Q188" s="1"/>
  <c r="M186"/>
  <c r="M188" s="1"/>
  <c r="I186"/>
  <c r="I188" s="1"/>
  <c r="E186"/>
  <c r="E188" s="1"/>
  <c r="U179"/>
  <c r="U181" s="1"/>
  <c r="Q179"/>
  <c r="Q181" s="1"/>
  <c r="M179"/>
  <c r="M181" s="1"/>
  <c r="I179"/>
  <c r="I181" s="1"/>
  <c r="E179"/>
  <c r="E181" s="1"/>
  <c r="O342"/>
  <c r="O344" s="1"/>
  <c r="I342"/>
  <c r="I344" s="1"/>
  <c r="E342"/>
  <c r="E344" s="1"/>
  <c r="T342"/>
  <c r="T344" s="1"/>
  <c r="P342"/>
  <c r="P344" s="1"/>
  <c r="L342"/>
  <c r="L344" s="1"/>
  <c r="H342"/>
  <c r="H344" s="1"/>
  <c r="D342"/>
  <c r="D344" s="1"/>
  <c r="Q342"/>
  <c r="Q344" s="1"/>
  <c r="C342"/>
  <c r="C344" s="1"/>
  <c r="V355"/>
  <c r="W355" s="1"/>
  <c r="V257"/>
  <c r="W257" s="1"/>
  <c r="B258"/>
  <c r="B260" s="1"/>
  <c r="T210"/>
  <c r="T212" s="1"/>
  <c r="T306"/>
  <c r="H210"/>
  <c r="H212" s="1"/>
  <c r="H306"/>
  <c r="T203"/>
  <c r="T205" s="1"/>
  <c r="T334"/>
  <c r="P203"/>
  <c r="P205" s="1"/>
  <c r="P334"/>
  <c r="L203"/>
  <c r="L205" s="1"/>
  <c r="L334"/>
  <c r="H203"/>
  <c r="H205" s="1"/>
  <c r="H334"/>
  <c r="D203"/>
  <c r="D205" s="1"/>
  <c r="D334"/>
  <c r="U203"/>
  <c r="U205" s="1"/>
  <c r="U334"/>
  <c r="Q203"/>
  <c r="Q205" s="1"/>
  <c r="Q334"/>
  <c r="M203"/>
  <c r="M205" s="1"/>
  <c r="M334"/>
  <c r="I203"/>
  <c r="I205" s="1"/>
  <c r="I334"/>
  <c r="E203"/>
  <c r="E205" s="1"/>
  <c r="E334"/>
  <c r="T356"/>
  <c r="T358" s="1"/>
  <c r="V320"/>
  <c r="W320" s="1"/>
  <c r="B321"/>
  <c r="V250"/>
  <c r="W250" s="1"/>
  <c r="B251"/>
  <c r="N210"/>
  <c r="N212" s="1"/>
  <c r="N306"/>
  <c r="B307"/>
  <c r="R203"/>
  <c r="R205" s="1"/>
  <c r="R334"/>
  <c r="N203"/>
  <c r="N205" s="1"/>
  <c r="N334"/>
  <c r="J203"/>
  <c r="J205" s="1"/>
  <c r="J334"/>
  <c r="F203"/>
  <c r="F205" s="1"/>
  <c r="F334"/>
  <c r="B335"/>
  <c r="V285"/>
  <c r="W285" s="1"/>
  <c r="B286"/>
  <c r="V348"/>
  <c r="W348" s="1"/>
  <c r="B349"/>
  <c r="V264"/>
  <c r="W264" s="1"/>
  <c r="B265"/>
  <c r="S203"/>
  <c r="S205" s="1"/>
  <c r="S334"/>
  <c r="O203"/>
  <c r="O205" s="1"/>
  <c r="O334"/>
  <c r="K203"/>
  <c r="K205" s="1"/>
  <c r="K334"/>
  <c r="G203"/>
  <c r="G205" s="1"/>
  <c r="G334"/>
  <c r="C203"/>
  <c r="C205" s="1"/>
  <c r="C334"/>
  <c r="V341"/>
  <c r="W341" s="1"/>
  <c r="B342"/>
  <c r="B358"/>
  <c r="D216"/>
  <c r="H216"/>
  <c r="L216"/>
  <c r="P216"/>
  <c r="C216"/>
  <c r="G216"/>
  <c r="K216"/>
  <c r="O216"/>
  <c r="S216"/>
  <c r="U210"/>
  <c r="U212" s="1"/>
  <c r="Q210"/>
  <c r="Q212" s="1"/>
  <c r="E210"/>
  <c r="E212" s="1"/>
  <c r="V150"/>
  <c r="W150" s="1"/>
  <c r="B151"/>
  <c r="B186"/>
  <c r="V185"/>
  <c r="W185" s="1"/>
  <c r="B241"/>
  <c r="V240"/>
  <c r="W240" s="1"/>
  <c r="B227"/>
  <c r="V226"/>
  <c r="W226" s="1"/>
  <c r="B216"/>
  <c r="F216"/>
  <c r="J216"/>
  <c r="N216"/>
  <c r="R216"/>
  <c r="E216"/>
  <c r="I216"/>
  <c r="M216"/>
  <c r="Q216"/>
  <c r="C179"/>
  <c r="V178"/>
  <c r="W178" s="1"/>
  <c r="V272"/>
  <c r="W272" s="1"/>
  <c r="B274"/>
  <c r="V274" s="1"/>
  <c r="V209"/>
  <c r="W209" s="1"/>
  <c r="K210"/>
  <c r="K212" s="1"/>
  <c r="B210"/>
  <c r="B203"/>
  <c r="V201"/>
  <c r="W201" s="1"/>
  <c r="D214" i="13"/>
  <c r="V186"/>
  <c r="W186" s="1"/>
  <c r="E130"/>
  <c r="L130"/>
  <c r="V227"/>
  <c r="W227" s="1"/>
  <c r="B10" i="15"/>
  <c r="U130" i="13"/>
  <c r="I130"/>
  <c r="S130"/>
  <c r="R130"/>
  <c r="M130"/>
  <c r="P130"/>
  <c r="O130"/>
  <c r="G130"/>
  <c r="H62"/>
  <c r="U62"/>
  <c r="G214"/>
  <c r="M214"/>
  <c r="B218"/>
  <c r="U218"/>
  <c r="J169"/>
  <c r="F169"/>
  <c r="V168"/>
  <c r="W168" s="1"/>
  <c r="V166"/>
  <c r="W166" s="1"/>
  <c r="C130"/>
  <c r="V127"/>
  <c r="W127" s="1"/>
  <c r="S77" i="4"/>
  <c r="M77"/>
  <c r="G77"/>
  <c r="B77"/>
  <c r="R77"/>
  <c r="N77"/>
  <c r="J77"/>
  <c r="F77"/>
  <c r="U77"/>
  <c r="K77"/>
  <c r="O77"/>
  <c r="I77"/>
  <c r="E77"/>
  <c r="T77"/>
  <c r="P77"/>
  <c r="L77"/>
  <c r="H77"/>
  <c r="D77"/>
  <c r="Q77"/>
  <c r="C77"/>
  <c r="T10" i="15"/>
  <c r="T11" s="1"/>
  <c r="P10"/>
  <c r="P11" s="1"/>
  <c r="D10"/>
  <c r="D11" s="1"/>
  <c r="U10"/>
  <c r="U11" s="1"/>
  <c r="I10"/>
  <c r="I11" s="1"/>
  <c r="E10"/>
  <c r="E11" s="1"/>
  <c r="N10"/>
  <c r="N11" s="1"/>
  <c r="F10"/>
  <c r="F11" s="1"/>
  <c r="S10"/>
  <c r="S11" s="1"/>
  <c r="O10"/>
  <c r="O11" s="1"/>
  <c r="C10"/>
  <c r="C11" s="1"/>
  <c r="H95" i="4"/>
  <c r="B95"/>
  <c r="V75"/>
  <c r="W75" s="1"/>
  <c r="L63" i="13"/>
  <c r="R63"/>
  <c r="Q62"/>
  <c r="I62"/>
  <c r="N62"/>
  <c r="F62"/>
  <c r="Q63"/>
  <c r="I63"/>
  <c r="H63"/>
  <c r="N63"/>
  <c r="S62"/>
  <c r="K62"/>
  <c r="C62"/>
  <c r="P62"/>
  <c r="S63"/>
  <c r="K63"/>
  <c r="T63"/>
  <c r="D63"/>
  <c r="J63"/>
  <c r="M62"/>
  <c r="E62"/>
  <c r="R62"/>
  <c r="J62"/>
  <c r="U63"/>
  <c r="M63"/>
  <c r="E63"/>
  <c r="P63"/>
  <c r="F63"/>
  <c r="O62"/>
  <c r="G62"/>
  <c r="T62"/>
  <c r="L62"/>
  <c r="D62"/>
  <c r="O63"/>
  <c r="G63"/>
  <c r="V41" i="4"/>
  <c r="W41" s="1"/>
  <c r="V48"/>
  <c r="W48" s="1"/>
  <c r="V47"/>
  <c r="W47" s="1"/>
  <c r="V46"/>
  <c r="W46" s="1"/>
  <c r="V45"/>
  <c r="W45" s="1"/>
  <c r="V42"/>
  <c r="W42" s="1"/>
  <c r="V15"/>
  <c r="W15" s="1"/>
  <c r="V70"/>
  <c r="W70" s="1"/>
  <c r="V89"/>
  <c r="W89" s="1"/>
  <c r="V108"/>
  <c r="W108" s="1"/>
  <c r="V71"/>
  <c r="W71" s="1"/>
  <c r="V90"/>
  <c r="W90" s="1"/>
  <c r="V91"/>
  <c r="W91" s="1"/>
  <c r="V109"/>
  <c r="W109" s="1"/>
  <c r="V62"/>
  <c r="W62" s="1"/>
  <c r="V25"/>
  <c r="W25" s="1"/>
  <c r="V69"/>
  <c r="W69" s="1"/>
  <c r="V68"/>
  <c r="W68" s="1"/>
  <c r="V67"/>
  <c r="W67" s="1"/>
  <c r="V66"/>
  <c r="W66" s="1"/>
  <c r="V65"/>
  <c r="W65" s="1"/>
  <c r="V64"/>
  <c r="W64" s="1"/>
  <c r="V63"/>
  <c r="W63" s="1"/>
  <c r="V27"/>
  <c r="W27" s="1"/>
  <c r="V26"/>
  <c r="W26" s="1"/>
  <c r="B11" i="15" l="1"/>
  <c r="C13"/>
  <c r="T409" i="13"/>
  <c r="T416" s="1"/>
  <c r="Q409"/>
  <c r="Q416" s="1"/>
  <c r="H409"/>
  <c r="H416" s="1"/>
  <c r="E409"/>
  <c r="E416" s="1"/>
  <c r="N409"/>
  <c r="N416" s="1"/>
  <c r="B13" i="15"/>
  <c r="U119" i="4"/>
  <c r="U299" i="13"/>
  <c r="U317" s="1"/>
  <c r="U325" s="1"/>
  <c r="U392"/>
  <c r="U399" s="1"/>
  <c r="U409"/>
  <c r="U416" s="1"/>
  <c r="P281"/>
  <c r="D281"/>
  <c r="I281"/>
  <c r="M281"/>
  <c r="R281"/>
  <c r="U289"/>
  <c r="K21" i="15"/>
  <c r="K290" i="13"/>
  <c r="K292" s="1"/>
  <c r="H21" i="15"/>
  <c r="H290" i="13"/>
  <c r="H292" s="1"/>
  <c r="T21" i="15"/>
  <c r="T290" i="13"/>
  <c r="T292" s="1"/>
  <c r="E21" i="15"/>
  <c r="E290" i="13"/>
  <c r="E292" s="1"/>
  <c r="Q21" i="15"/>
  <c r="Q290" i="13"/>
  <c r="Q292" s="1"/>
  <c r="N21" i="15"/>
  <c r="N290" i="13"/>
  <c r="N292" s="1"/>
  <c r="B26" i="15"/>
  <c r="B31" s="1"/>
  <c r="W9"/>
  <c r="V251" i="13"/>
  <c r="W251" s="1"/>
  <c r="L214"/>
  <c r="L217" s="1"/>
  <c r="R214"/>
  <c r="J214"/>
  <c r="S214"/>
  <c r="S217" s="1"/>
  <c r="O214"/>
  <c r="O217" s="1"/>
  <c r="P214"/>
  <c r="P217" s="1"/>
  <c r="F214"/>
  <c r="F217" s="1"/>
  <c r="V260" i="4"/>
  <c r="L401" i="13"/>
  <c r="L403" s="1"/>
  <c r="M401"/>
  <c r="M403" s="1"/>
  <c r="L254"/>
  <c r="L256" s="1"/>
  <c r="L10" i="15"/>
  <c r="L11" s="1"/>
  <c r="H254" i="13"/>
  <c r="H256" s="1"/>
  <c r="H10" i="15"/>
  <c r="H11" s="1"/>
  <c r="F13"/>
  <c r="I13"/>
  <c r="O13"/>
  <c r="D13"/>
  <c r="S13"/>
  <c r="B27"/>
  <c r="B32" s="1"/>
  <c r="G254" i="13"/>
  <c r="G256" s="1"/>
  <c r="G10" i="15"/>
  <c r="G11" s="1"/>
  <c r="U401" i="13"/>
  <c r="U403" s="1"/>
  <c r="J401"/>
  <c r="J403" s="1"/>
  <c r="R401"/>
  <c r="R403" s="1"/>
  <c r="C401"/>
  <c r="C403" s="1"/>
  <c r="G401"/>
  <c r="G403" s="1"/>
  <c r="O401"/>
  <c r="O403" s="1"/>
  <c r="S401"/>
  <c r="S403" s="1"/>
  <c r="D401"/>
  <c r="D403" s="1"/>
  <c r="P401"/>
  <c r="P403" s="1"/>
  <c r="I401"/>
  <c r="I403" s="1"/>
  <c r="F401"/>
  <c r="F403" s="1"/>
  <c r="P13" i="15"/>
  <c r="E13"/>
  <c r="U13"/>
  <c r="T13"/>
  <c r="N13"/>
  <c r="B401" i="13"/>
  <c r="C256"/>
  <c r="Q352"/>
  <c r="L352"/>
  <c r="K352"/>
  <c r="H352"/>
  <c r="M352"/>
  <c r="R352"/>
  <c r="G352"/>
  <c r="J352"/>
  <c r="L27" i="15"/>
  <c r="L28" s="1"/>
  <c r="M27"/>
  <c r="M28" s="1"/>
  <c r="U27"/>
  <c r="J27"/>
  <c r="J28" s="1"/>
  <c r="R27"/>
  <c r="R28" s="1"/>
  <c r="C27"/>
  <c r="C28" s="1"/>
  <c r="G27"/>
  <c r="G28" s="1"/>
  <c r="O27"/>
  <c r="O28" s="1"/>
  <c r="S27"/>
  <c r="S28" s="1"/>
  <c r="D27"/>
  <c r="D28" s="1"/>
  <c r="P27"/>
  <c r="P28" s="1"/>
  <c r="I27"/>
  <c r="I28" s="1"/>
  <c r="F27"/>
  <c r="F28" s="1"/>
  <c r="B308" i="13"/>
  <c r="B413"/>
  <c r="B417" s="1"/>
  <c r="B321"/>
  <c r="B324" s="1"/>
  <c r="N95" i="4"/>
  <c r="N217" s="1"/>
  <c r="N219" s="1"/>
  <c r="K399" i="13"/>
  <c r="K307"/>
  <c r="K26" i="15" s="1"/>
  <c r="K325" i="13"/>
  <c r="H399"/>
  <c r="H307"/>
  <c r="H26" i="15" s="1"/>
  <c r="H325" i="13"/>
  <c r="T399"/>
  <c r="T307"/>
  <c r="T26" i="15" s="1"/>
  <c r="T325" i="13"/>
  <c r="E399"/>
  <c r="E307"/>
  <c r="E26" i="15" s="1"/>
  <c r="E325" i="13"/>
  <c r="Q399"/>
  <c r="Q307"/>
  <c r="Q26" i="15" s="1"/>
  <c r="Q325" i="13"/>
  <c r="N399"/>
  <c r="N307"/>
  <c r="N26" i="15" s="1"/>
  <c r="N325" i="13"/>
  <c r="V337"/>
  <c r="W337" s="1"/>
  <c r="P382"/>
  <c r="D382"/>
  <c r="I382"/>
  <c r="M382"/>
  <c r="R382"/>
  <c r="C352"/>
  <c r="I214"/>
  <c r="I217" s="1"/>
  <c r="V176"/>
  <c r="W176" s="1"/>
  <c r="V173"/>
  <c r="S215"/>
  <c r="S221" s="1"/>
  <c r="S375" s="1"/>
  <c r="J215"/>
  <c r="J221" s="1"/>
  <c r="J375" s="1"/>
  <c r="L215"/>
  <c r="L221" s="1"/>
  <c r="L375" s="1"/>
  <c r="M226"/>
  <c r="M228" s="1"/>
  <c r="O215"/>
  <c r="O218" s="1"/>
  <c r="G215"/>
  <c r="G221" s="1"/>
  <c r="G375" s="1"/>
  <c r="C215"/>
  <c r="C221" s="1"/>
  <c r="C375" s="1"/>
  <c r="R226"/>
  <c r="R228" s="1"/>
  <c r="D226"/>
  <c r="D228" s="1"/>
  <c r="I226"/>
  <c r="I228" s="1"/>
  <c r="P226"/>
  <c r="P228" s="1"/>
  <c r="T95" i="4"/>
  <c r="T217" s="1"/>
  <c r="T219" s="1"/>
  <c r="B119"/>
  <c r="V241" i="13"/>
  <c r="W241" s="1"/>
  <c r="K218"/>
  <c r="E218"/>
  <c r="N218"/>
  <c r="T218"/>
  <c r="Q218"/>
  <c r="H218"/>
  <c r="C729"/>
  <c r="V729" s="1"/>
  <c r="V727"/>
  <c r="W727" s="1"/>
  <c r="C720"/>
  <c r="V718"/>
  <c r="W718" s="1"/>
  <c r="F215"/>
  <c r="F221" s="1"/>
  <c r="F375" s="1"/>
  <c r="F226"/>
  <c r="F228" s="1"/>
  <c r="K230"/>
  <c r="H230"/>
  <c r="V358" i="4"/>
  <c r="H217"/>
  <c r="H219" s="1"/>
  <c r="V356"/>
  <c r="W356" s="1"/>
  <c r="V258"/>
  <c r="W258" s="1"/>
  <c r="R218" i="13"/>
  <c r="F335" i="4"/>
  <c r="F337" s="1"/>
  <c r="J335"/>
  <c r="J337" s="1"/>
  <c r="N335"/>
  <c r="N337" s="1"/>
  <c r="R335"/>
  <c r="R337" s="1"/>
  <c r="E335"/>
  <c r="E337" s="1"/>
  <c r="I335"/>
  <c r="I337" s="1"/>
  <c r="M335"/>
  <c r="M337" s="1"/>
  <c r="Q335"/>
  <c r="Q337" s="1"/>
  <c r="U335"/>
  <c r="U337" s="1"/>
  <c r="D335"/>
  <c r="D337" s="1"/>
  <c r="H335"/>
  <c r="H337" s="1"/>
  <c r="L335"/>
  <c r="L337" s="1"/>
  <c r="P335"/>
  <c r="P337" s="1"/>
  <c r="T335"/>
  <c r="T337" s="1"/>
  <c r="H307"/>
  <c r="H309" s="1"/>
  <c r="T307"/>
  <c r="T309" s="1"/>
  <c r="C335"/>
  <c r="C337" s="1"/>
  <c r="G335"/>
  <c r="G337" s="1"/>
  <c r="K335"/>
  <c r="K337" s="1"/>
  <c r="O335"/>
  <c r="O337" s="1"/>
  <c r="S335"/>
  <c r="S337" s="1"/>
  <c r="N307"/>
  <c r="N309" s="1"/>
  <c r="T379"/>
  <c r="V379" s="1"/>
  <c r="V377"/>
  <c r="W377" s="1"/>
  <c r="V306"/>
  <c r="W306" s="1"/>
  <c r="V342"/>
  <c r="W342" s="1"/>
  <c r="B344"/>
  <c r="V344" s="1"/>
  <c r="B267"/>
  <c r="V267" s="1"/>
  <c r="V265"/>
  <c r="W265" s="1"/>
  <c r="V349"/>
  <c r="W349" s="1"/>
  <c r="B351"/>
  <c r="V351" s="1"/>
  <c r="B288"/>
  <c r="V288" s="1"/>
  <c r="V286"/>
  <c r="W286" s="1"/>
  <c r="B337"/>
  <c r="B309"/>
  <c r="V309" s="1"/>
  <c r="B253"/>
  <c r="V253" s="1"/>
  <c r="V251"/>
  <c r="W251" s="1"/>
  <c r="V321"/>
  <c r="W321" s="1"/>
  <c r="B323"/>
  <c r="V323" s="1"/>
  <c r="V334"/>
  <c r="W334" s="1"/>
  <c r="V151"/>
  <c r="W151" s="1"/>
  <c r="B153"/>
  <c r="V153" s="1"/>
  <c r="C181"/>
  <c r="V181" s="1"/>
  <c r="V179"/>
  <c r="W179" s="1"/>
  <c r="V227"/>
  <c r="W227" s="1"/>
  <c r="B229"/>
  <c r="V229" s="1"/>
  <c r="V241"/>
  <c r="W241" s="1"/>
  <c r="B243"/>
  <c r="V243" s="1"/>
  <c r="B188"/>
  <c r="V188" s="1"/>
  <c r="V186"/>
  <c r="W186" s="1"/>
  <c r="B217"/>
  <c r="F95"/>
  <c r="F217" s="1"/>
  <c r="F219" s="1"/>
  <c r="R95"/>
  <c r="J95"/>
  <c r="B205"/>
  <c r="V205" s="1"/>
  <c r="V203"/>
  <c r="W203" s="1"/>
  <c r="B212"/>
  <c r="O95"/>
  <c r="P95"/>
  <c r="L95"/>
  <c r="D95"/>
  <c r="I95"/>
  <c r="I217" s="1"/>
  <c r="I219" s="1"/>
  <c r="M120"/>
  <c r="B33"/>
  <c r="U230" i="13"/>
  <c r="E230"/>
  <c r="T230"/>
  <c r="Q230"/>
  <c r="N230"/>
  <c r="R217"/>
  <c r="M217"/>
  <c r="J217"/>
  <c r="G217"/>
  <c r="D217"/>
  <c r="C120" i="4"/>
  <c r="K120"/>
  <c r="M218" i="13"/>
  <c r="P218"/>
  <c r="D218"/>
  <c r="V212"/>
  <c r="W212" s="1"/>
  <c r="C214"/>
  <c r="V213"/>
  <c r="W213" s="1"/>
  <c r="F172"/>
  <c r="J172"/>
  <c r="V169"/>
  <c r="W169" s="1"/>
  <c r="V130"/>
  <c r="V62"/>
  <c r="V32" i="4"/>
  <c r="W32" s="1"/>
  <c r="C33"/>
  <c r="G33"/>
  <c r="K33"/>
  <c r="O33"/>
  <c r="S33"/>
  <c r="F33"/>
  <c r="J33"/>
  <c r="N33"/>
  <c r="R33"/>
  <c r="E33"/>
  <c r="I33"/>
  <c r="M33"/>
  <c r="Q33"/>
  <c r="U33"/>
  <c r="D33"/>
  <c r="H33"/>
  <c r="L33"/>
  <c r="P33"/>
  <c r="T33"/>
  <c r="S120"/>
  <c r="Q120"/>
  <c r="G120"/>
  <c r="T120"/>
  <c r="T113"/>
  <c r="T115" s="1"/>
  <c r="K119"/>
  <c r="E119"/>
  <c r="H119"/>
  <c r="E95"/>
  <c r="E217" s="1"/>
  <c r="E219" s="1"/>
  <c r="O120"/>
  <c r="P120"/>
  <c r="L120"/>
  <c r="H120"/>
  <c r="D120"/>
  <c r="I120"/>
  <c r="E120"/>
  <c r="R120"/>
  <c r="N120"/>
  <c r="J120"/>
  <c r="F120"/>
  <c r="B120"/>
  <c r="U120"/>
  <c r="U113"/>
  <c r="U115" s="1"/>
  <c r="Q119"/>
  <c r="N119"/>
  <c r="T119"/>
  <c r="K113"/>
  <c r="H113"/>
  <c r="H115" s="1"/>
  <c r="Q113"/>
  <c r="Q115" s="1"/>
  <c r="E113"/>
  <c r="E115" s="1"/>
  <c r="N113"/>
  <c r="N115" s="1"/>
  <c r="B113"/>
  <c r="B115" s="1"/>
  <c r="S95"/>
  <c r="M95"/>
  <c r="C95"/>
  <c r="K95"/>
  <c r="K217" s="1"/>
  <c r="K219" s="1"/>
  <c r="Q95"/>
  <c r="Q217" s="1"/>
  <c r="Q219" s="1"/>
  <c r="U95"/>
  <c r="G95"/>
  <c r="T79"/>
  <c r="K79"/>
  <c r="B79"/>
  <c r="Q79"/>
  <c r="H79"/>
  <c r="E79"/>
  <c r="N79"/>
  <c r="K115"/>
  <c r="V112"/>
  <c r="W112" s="1"/>
  <c r="B97"/>
  <c r="C79"/>
  <c r="D79"/>
  <c r="L79"/>
  <c r="I79"/>
  <c r="J79"/>
  <c r="R79"/>
  <c r="M79"/>
  <c r="F79"/>
  <c r="P79"/>
  <c r="O79"/>
  <c r="U79"/>
  <c r="G79"/>
  <c r="S79"/>
  <c r="V59" i="13"/>
  <c r="W59" s="1"/>
  <c r="V76" i="4"/>
  <c r="W76" s="1"/>
  <c r="V63" i="13"/>
  <c r="V60"/>
  <c r="W60" s="1"/>
  <c r="B33" i="15" l="1"/>
  <c r="N23"/>
  <c r="N31"/>
  <c r="Q23"/>
  <c r="Q31"/>
  <c r="E23"/>
  <c r="E31"/>
  <c r="T23"/>
  <c r="T31"/>
  <c r="H23"/>
  <c r="H31"/>
  <c r="K23"/>
  <c r="K31"/>
  <c r="I97" i="4"/>
  <c r="V299" i="13"/>
  <c r="W299" s="1"/>
  <c r="U307"/>
  <c r="U26" i="15" s="1"/>
  <c r="V26" s="1"/>
  <c r="W26" s="1"/>
  <c r="V392" i="13"/>
  <c r="W392" s="1"/>
  <c r="R409"/>
  <c r="R416" s="1"/>
  <c r="R317"/>
  <c r="R325" s="1"/>
  <c r="M317"/>
  <c r="M325" s="1"/>
  <c r="M409"/>
  <c r="M416" s="1"/>
  <c r="I409"/>
  <c r="I416" s="1"/>
  <c r="I317"/>
  <c r="I325" s="1"/>
  <c r="D317"/>
  <c r="D325" s="1"/>
  <c r="D409"/>
  <c r="D416" s="1"/>
  <c r="P317"/>
  <c r="P325" s="1"/>
  <c r="P409"/>
  <c r="P416" s="1"/>
  <c r="C281"/>
  <c r="L281"/>
  <c r="S281"/>
  <c r="F281"/>
  <c r="G281"/>
  <c r="J281"/>
  <c r="U21" i="15"/>
  <c r="U290" i="13"/>
  <c r="U292" s="1"/>
  <c r="V307"/>
  <c r="W307" s="1"/>
  <c r="R289"/>
  <c r="I289"/>
  <c r="P289"/>
  <c r="M289"/>
  <c r="D289"/>
  <c r="J218"/>
  <c r="V350"/>
  <c r="W350" s="1"/>
  <c r="S218"/>
  <c r="V337" i="4"/>
  <c r="F97"/>
  <c r="U32" i="15"/>
  <c r="Q401" i="13"/>
  <c r="Q403" s="1"/>
  <c r="Q27" i="15"/>
  <c r="Q28" s="1"/>
  <c r="T401" i="13"/>
  <c r="T403" s="1"/>
  <c r="K401"/>
  <c r="K403" s="1"/>
  <c r="K254"/>
  <c r="K256" s="1"/>
  <c r="K10" i="15"/>
  <c r="K11" s="1"/>
  <c r="J254" i="13"/>
  <c r="J10" i="15"/>
  <c r="J11" s="1"/>
  <c r="M254" i="13"/>
  <c r="M256" s="1"/>
  <c r="M10" i="15"/>
  <c r="M11" s="1"/>
  <c r="B28"/>
  <c r="N401" i="13"/>
  <c r="N403" s="1"/>
  <c r="E401"/>
  <c r="E403" s="1"/>
  <c r="H401"/>
  <c r="H403" s="1"/>
  <c r="Q254"/>
  <c r="Q256" s="1"/>
  <c r="Q10" i="15"/>
  <c r="Q11" s="1"/>
  <c r="R254" i="13"/>
  <c r="R256" s="1"/>
  <c r="R10" i="15"/>
  <c r="R11" s="1"/>
  <c r="G13"/>
  <c r="H13"/>
  <c r="L13"/>
  <c r="V399" i="13"/>
  <c r="W399" s="1"/>
  <c r="V346"/>
  <c r="W346" s="1"/>
  <c r="V352"/>
  <c r="N27" i="15"/>
  <c r="Q308" i="13"/>
  <c r="Q310" s="1"/>
  <c r="Q413"/>
  <c r="Q321"/>
  <c r="Q324" s="1"/>
  <c r="E27" i="15"/>
  <c r="T27"/>
  <c r="H27"/>
  <c r="K27"/>
  <c r="K28" s="1"/>
  <c r="B418" i="13"/>
  <c r="B420" s="1"/>
  <c r="F308"/>
  <c r="F413"/>
  <c r="F321"/>
  <c r="F324" s="1"/>
  <c r="I308"/>
  <c r="I413"/>
  <c r="I321"/>
  <c r="P308"/>
  <c r="P413"/>
  <c r="P321"/>
  <c r="D308"/>
  <c r="D413"/>
  <c r="D321"/>
  <c r="S308"/>
  <c r="S413"/>
  <c r="S321"/>
  <c r="S324" s="1"/>
  <c r="O308"/>
  <c r="O413"/>
  <c r="O417" s="1"/>
  <c r="O321"/>
  <c r="O324" s="1"/>
  <c r="G308"/>
  <c r="G321"/>
  <c r="G324" s="1"/>
  <c r="G413"/>
  <c r="C308"/>
  <c r="C413"/>
  <c r="C417" s="1"/>
  <c r="C321"/>
  <c r="C324" s="1"/>
  <c r="R308"/>
  <c r="R321"/>
  <c r="R324" s="1"/>
  <c r="R413"/>
  <c r="J308"/>
  <c r="J413"/>
  <c r="J321"/>
  <c r="J324" s="1"/>
  <c r="U308"/>
  <c r="U413"/>
  <c r="U321"/>
  <c r="U324" s="1"/>
  <c r="M308"/>
  <c r="M321"/>
  <c r="M413"/>
  <c r="L308"/>
  <c r="L321"/>
  <c r="L324" s="1"/>
  <c r="L413"/>
  <c r="R326"/>
  <c r="R328" s="1"/>
  <c r="Q326"/>
  <c r="Q328" s="1"/>
  <c r="V250"/>
  <c r="W250" s="1"/>
  <c r="F218"/>
  <c r="L218"/>
  <c r="V297"/>
  <c r="W297" s="1"/>
  <c r="G382"/>
  <c r="J382"/>
  <c r="B403"/>
  <c r="F382"/>
  <c r="C382"/>
  <c r="C289"/>
  <c r="L382"/>
  <c r="S382"/>
  <c r="V390"/>
  <c r="W390" s="1"/>
  <c r="B310"/>
  <c r="O221"/>
  <c r="O375" s="1"/>
  <c r="V375" s="1"/>
  <c r="W375" s="1"/>
  <c r="C722"/>
  <c r="V722" s="1"/>
  <c r="V720"/>
  <c r="W720" s="1"/>
  <c r="V307" i="4"/>
  <c r="W307" s="1"/>
  <c r="V335"/>
  <c r="W335" s="1"/>
  <c r="G97"/>
  <c r="G217"/>
  <c r="G219" s="1"/>
  <c r="C97"/>
  <c r="S97"/>
  <c r="S217"/>
  <c r="S219" s="1"/>
  <c r="D217"/>
  <c r="D219" s="1"/>
  <c r="D97"/>
  <c r="L217"/>
  <c r="L219" s="1"/>
  <c r="L97"/>
  <c r="P217"/>
  <c r="P219" s="1"/>
  <c r="P97"/>
  <c r="O217"/>
  <c r="O219" s="1"/>
  <c r="O97"/>
  <c r="J217"/>
  <c r="J219" s="1"/>
  <c r="J97"/>
  <c r="R217"/>
  <c r="R219" s="1"/>
  <c r="R97"/>
  <c r="B219"/>
  <c r="U97"/>
  <c r="U217"/>
  <c r="U219" s="1"/>
  <c r="M97"/>
  <c r="M217"/>
  <c r="M219" s="1"/>
  <c r="L230" i="13"/>
  <c r="R230"/>
  <c r="J230"/>
  <c r="U121" i="4"/>
  <c r="U123" s="1"/>
  <c r="V226" i="13"/>
  <c r="W226" s="1"/>
  <c r="I218"/>
  <c r="G218"/>
  <c r="C218"/>
  <c r="C217"/>
  <c r="V217" s="1"/>
  <c r="V214"/>
  <c r="W214" s="1"/>
  <c r="V172"/>
  <c r="V215"/>
  <c r="W215" s="1"/>
  <c r="V167"/>
  <c r="W167" s="1"/>
  <c r="B121" i="4"/>
  <c r="B123" s="1"/>
  <c r="V120"/>
  <c r="W120" s="1"/>
  <c r="V95"/>
  <c r="W95" s="1"/>
  <c r="Q121"/>
  <c r="Q123" s="1"/>
  <c r="T121"/>
  <c r="T123" s="1"/>
  <c r="N121"/>
  <c r="N123" s="1"/>
  <c r="H121"/>
  <c r="H123" s="1"/>
  <c r="E121"/>
  <c r="E123" s="1"/>
  <c r="K121"/>
  <c r="K123" s="1"/>
  <c r="T97"/>
  <c r="N97"/>
  <c r="Q97"/>
  <c r="E97"/>
  <c r="K97"/>
  <c r="H97"/>
  <c r="V79"/>
  <c r="V77"/>
  <c r="W77" s="1"/>
  <c r="V49"/>
  <c r="W49" s="1"/>
  <c r="V11" i="15" l="1"/>
  <c r="V10"/>
  <c r="U28"/>
  <c r="U23"/>
  <c r="U31"/>
  <c r="U33" s="1"/>
  <c r="U35" s="1"/>
  <c r="J317" i="13"/>
  <c r="J325" s="1"/>
  <c r="J409"/>
  <c r="J416" s="1"/>
  <c r="G409"/>
  <c r="G416" s="1"/>
  <c r="G317"/>
  <c r="G325" s="1"/>
  <c r="F409"/>
  <c r="F416" s="1"/>
  <c r="F317"/>
  <c r="F325" s="1"/>
  <c r="F326" s="1"/>
  <c r="F328" s="1"/>
  <c r="S409"/>
  <c r="S416" s="1"/>
  <c r="S317"/>
  <c r="S325" s="1"/>
  <c r="L409"/>
  <c r="L416" s="1"/>
  <c r="L317"/>
  <c r="L325" s="1"/>
  <c r="C317"/>
  <c r="C409"/>
  <c r="O281"/>
  <c r="V281" s="1"/>
  <c r="W281" s="1"/>
  <c r="C21" i="15"/>
  <c r="C31" s="1"/>
  <c r="L417" i="13"/>
  <c r="L418" s="1"/>
  <c r="L420" s="1"/>
  <c r="J417"/>
  <c r="J418" s="1"/>
  <c r="J420" s="1"/>
  <c r="R417"/>
  <c r="R418" s="1"/>
  <c r="R420" s="1"/>
  <c r="G417"/>
  <c r="D417"/>
  <c r="D418" s="1"/>
  <c r="D420" s="1"/>
  <c r="I417"/>
  <c r="I418" s="1"/>
  <c r="I420" s="1"/>
  <c r="D21" i="15"/>
  <c r="D31" s="1"/>
  <c r="P21"/>
  <c r="P31" s="1"/>
  <c r="R21"/>
  <c r="R31" s="1"/>
  <c r="M417" i="13"/>
  <c r="M418" s="1"/>
  <c r="M420" s="1"/>
  <c r="U417"/>
  <c r="U418" s="1"/>
  <c r="U420" s="1"/>
  <c r="S417"/>
  <c r="P417"/>
  <c r="P418" s="1"/>
  <c r="P420" s="1"/>
  <c r="F417"/>
  <c r="Q417"/>
  <c r="Q418" s="1"/>
  <c r="Q420" s="1"/>
  <c r="M21" i="15"/>
  <c r="M31" s="1"/>
  <c r="I21"/>
  <c r="I31" s="1"/>
  <c r="B35"/>
  <c r="M324" i="13"/>
  <c r="M326" s="1"/>
  <c r="M328" s="1"/>
  <c r="P324"/>
  <c r="P326" s="1"/>
  <c r="P328" s="1"/>
  <c r="D324"/>
  <c r="D326" s="1"/>
  <c r="D328" s="1"/>
  <c r="I324"/>
  <c r="I326" s="1"/>
  <c r="I328" s="1"/>
  <c r="L289"/>
  <c r="F289"/>
  <c r="G289"/>
  <c r="D290"/>
  <c r="D292" s="1"/>
  <c r="M290"/>
  <c r="M292" s="1"/>
  <c r="P290"/>
  <c r="P292" s="1"/>
  <c r="I290"/>
  <c r="I292" s="1"/>
  <c r="R290"/>
  <c r="R292" s="1"/>
  <c r="S289"/>
  <c r="J289"/>
  <c r="J326"/>
  <c r="J328" s="1"/>
  <c r="L326"/>
  <c r="L328" s="1"/>
  <c r="V401"/>
  <c r="W401" s="1"/>
  <c r="G326"/>
  <c r="G328" s="1"/>
  <c r="W10" i="15"/>
  <c r="C32"/>
  <c r="T28"/>
  <c r="T32"/>
  <c r="T33" s="1"/>
  <c r="H28"/>
  <c r="H32"/>
  <c r="H33" s="1"/>
  <c r="E28"/>
  <c r="E32"/>
  <c r="E33" s="1"/>
  <c r="V27"/>
  <c r="W27" s="1"/>
  <c r="N28"/>
  <c r="N32"/>
  <c r="N33" s="1"/>
  <c r="P384" i="13"/>
  <c r="P386" s="1"/>
  <c r="R384"/>
  <c r="R386" s="1"/>
  <c r="M384"/>
  <c r="M386" s="1"/>
  <c r="R13" i="15"/>
  <c r="Q32"/>
  <c r="Q33" s="1"/>
  <c r="Q13"/>
  <c r="J256" i="13"/>
  <c r="V256" s="1"/>
  <c r="V254"/>
  <c r="W254" s="1"/>
  <c r="I384"/>
  <c r="I386" s="1"/>
  <c r="D384"/>
  <c r="D386" s="1"/>
  <c r="M13" i="15"/>
  <c r="J13"/>
  <c r="K32"/>
  <c r="K33" s="1"/>
  <c r="K13"/>
  <c r="C384" i="13"/>
  <c r="B326"/>
  <c r="B328" s="1"/>
  <c r="M310"/>
  <c r="J310"/>
  <c r="C310"/>
  <c r="O310"/>
  <c r="D310"/>
  <c r="I310"/>
  <c r="K308"/>
  <c r="K413"/>
  <c r="K321"/>
  <c r="K324" s="1"/>
  <c r="H308"/>
  <c r="H413"/>
  <c r="H321"/>
  <c r="H324" s="1"/>
  <c r="T308"/>
  <c r="T413"/>
  <c r="T321"/>
  <c r="T324" s="1"/>
  <c r="E308"/>
  <c r="E413"/>
  <c r="E321"/>
  <c r="E324" s="1"/>
  <c r="V306"/>
  <c r="W306" s="1"/>
  <c r="L310"/>
  <c r="U326"/>
  <c r="U328" s="1"/>
  <c r="U310"/>
  <c r="R310"/>
  <c r="G310"/>
  <c r="S310"/>
  <c r="P310"/>
  <c r="F310"/>
  <c r="N308"/>
  <c r="N413"/>
  <c r="N321"/>
  <c r="N324" s="1"/>
  <c r="C290"/>
  <c r="S326"/>
  <c r="S328" s="1"/>
  <c r="V403"/>
  <c r="O382"/>
  <c r="V221"/>
  <c r="W221" s="1"/>
  <c r="C217" i="4"/>
  <c r="V216"/>
  <c r="W216" s="1"/>
  <c r="G230" i="13"/>
  <c r="D230"/>
  <c r="F230"/>
  <c r="M230"/>
  <c r="S230"/>
  <c r="O230"/>
  <c r="P230"/>
  <c r="I230"/>
  <c r="V218"/>
  <c r="V228"/>
  <c r="W228" s="1"/>
  <c r="C230"/>
  <c r="V94" i="4"/>
  <c r="W94" s="1"/>
  <c r="D35"/>
  <c r="D234" s="1"/>
  <c r="D236" s="1"/>
  <c r="V50"/>
  <c r="W50" s="1"/>
  <c r="V13" i="15" l="1"/>
  <c r="F418" i="13"/>
  <c r="F420" s="1"/>
  <c r="S418"/>
  <c r="S420" s="1"/>
  <c r="G418"/>
  <c r="G420" s="1"/>
  <c r="R23" i="15"/>
  <c r="M23"/>
  <c r="C325" i="13"/>
  <c r="C326" s="1"/>
  <c r="O317"/>
  <c r="O325" s="1"/>
  <c r="O326" s="1"/>
  <c r="O328" s="1"/>
  <c r="O409"/>
  <c r="O416" s="1"/>
  <c r="C416"/>
  <c r="C418" s="1"/>
  <c r="C420" s="1"/>
  <c r="T417"/>
  <c r="T418" s="1"/>
  <c r="T420" s="1"/>
  <c r="K417"/>
  <c r="K418" s="1"/>
  <c r="K420" s="1"/>
  <c r="J21" i="15"/>
  <c r="J31" s="1"/>
  <c r="F21"/>
  <c r="F31" s="1"/>
  <c r="N417" i="13"/>
  <c r="N418" s="1"/>
  <c r="N420" s="1"/>
  <c r="E417"/>
  <c r="E418" s="1"/>
  <c r="H417"/>
  <c r="H418" s="1"/>
  <c r="H420" s="1"/>
  <c r="S21" i="15"/>
  <c r="S31" s="1"/>
  <c r="G21"/>
  <c r="G31" s="1"/>
  <c r="L21"/>
  <c r="L31" s="1"/>
  <c r="C23"/>
  <c r="J290" i="13"/>
  <c r="J292" s="1"/>
  <c r="S290"/>
  <c r="S292" s="1"/>
  <c r="G290"/>
  <c r="G292" s="1"/>
  <c r="F290"/>
  <c r="F292" s="1"/>
  <c r="L290"/>
  <c r="L292" s="1"/>
  <c r="O289"/>
  <c r="C33" i="15"/>
  <c r="M32"/>
  <c r="M33" s="1"/>
  <c r="R32"/>
  <c r="R33" s="1"/>
  <c r="S384" i="13"/>
  <c r="S386" s="1"/>
  <c r="J384"/>
  <c r="J386" s="1"/>
  <c r="L384"/>
  <c r="L386" s="1"/>
  <c r="P23" i="15"/>
  <c r="P32"/>
  <c r="P33" s="1"/>
  <c r="G384" i="13"/>
  <c r="G386" s="1"/>
  <c r="F384"/>
  <c r="F386" s="1"/>
  <c r="D23" i="15"/>
  <c r="D32"/>
  <c r="D33" s="1"/>
  <c r="I23"/>
  <c r="I32"/>
  <c r="I33" s="1"/>
  <c r="V308" i="13"/>
  <c r="W308" s="1"/>
  <c r="V321"/>
  <c r="W321" s="1"/>
  <c r="E310"/>
  <c r="E35" i="15"/>
  <c r="H326" i="13"/>
  <c r="H328" s="1"/>
  <c r="H310"/>
  <c r="H35" i="15"/>
  <c r="V413" i="13"/>
  <c r="W413" s="1"/>
  <c r="N326"/>
  <c r="N328" s="1"/>
  <c r="N35" i="15"/>
  <c r="N310" i="13"/>
  <c r="T326"/>
  <c r="T328" s="1"/>
  <c r="T310"/>
  <c r="T35" i="15"/>
  <c r="K326" i="13"/>
  <c r="K328" s="1"/>
  <c r="K310"/>
  <c r="K35" i="15"/>
  <c r="V288" i="13"/>
  <c r="W288" s="1"/>
  <c r="Q35" i="15"/>
  <c r="V324" i="13"/>
  <c r="W324" s="1"/>
  <c r="V373"/>
  <c r="W373" s="1"/>
  <c r="V279"/>
  <c r="W279" s="1"/>
  <c r="V315"/>
  <c r="W315" s="1"/>
  <c r="C328"/>
  <c r="W407"/>
  <c r="C386"/>
  <c r="C292"/>
  <c r="V230"/>
  <c r="C219" i="4"/>
  <c r="V219" s="1"/>
  <c r="V217"/>
  <c r="W217" s="1"/>
  <c r="L35"/>
  <c r="L234" s="1"/>
  <c r="L236" s="1"/>
  <c r="T35"/>
  <c r="T234" s="1"/>
  <c r="T236" s="1"/>
  <c r="G35"/>
  <c r="G234" s="1"/>
  <c r="G236" s="1"/>
  <c r="O35"/>
  <c r="O234" s="1"/>
  <c r="O236" s="1"/>
  <c r="F35"/>
  <c r="F234" s="1"/>
  <c r="F236" s="1"/>
  <c r="N35"/>
  <c r="N234" s="1"/>
  <c r="N236" s="1"/>
  <c r="I35"/>
  <c r="I234" s="1"/>
  <c r="I236" s="1"/>
  <c r="Q35"/>
  <c r="Q234" s="1"/>
  <c r="Q236" s="1"/>
  <c r="H35"/>
  <c r="H234" s="1"/>
  <c r="H236" s="1"/>
  <c r="P35"/>
  <c r="P234" s="1"/>
  <c r="P236" s="1"/>
  <c r="C35"/>
  <c r="C234" s="1"/>
  <c r="C236" s="1"/>
  <c r="K35"/>
  <c r="K234" s="1"/>
  <c r="K236" s="1"/>
  <c r="S35"/>
  <c r="S234" s="1"/>
  <c r="S236" s="1"/>
  <c r="J35"/>
  <c r="J234" s="1"/>
  <c r="J236" s="1"/>
  <c r="R35"/>
  <c r="R234" s="1"/>
  <c r="R236" s="1"/>
  <c r="E35"/>
  <c r="E234" s="1"/>
  <c r="E236" s="1"/>
  <c r="M35"/>
  <c r="M234" s="1"/>
  <c r="M236" s="1"/>
  <c r="U35"/>
  <c r="U234" s="1"/>
  <c r="U236" s="1"/>
  <c r="V51"/>
  <c r="W51" s="1"/>
  <c r="V14"/>
  <c r="W14" s="1"/>
  <c r="V417" i="13" l="1"/>
  <c r="W417" s="1"/>
  <c r="V409"/>
  <c r="W409" s="1"/>
  <c r="V325"/>
  <c r="W325" s="1"/>
  <c r="V317"/>
  <c r="W317" s="1"/>
  <c r="V416"/>
  <c r="W416" s="1"/>
  <c r="O418"/>
  <c r="O420" s="1"/>
  <c r="E420"/>
  <c r="V418"/>
  <c r="W418" s="1"/>
  <c r="O21" i="15"/>
  <c r="O31" s="1"/>
  <c r="V31" s="1"/>
  <c r="O290" i="13"/>
  <c r="V289"/>
  <c r="W289" s="1"/>
  <c r="F23" i="15"/>
  <c r="F32"/>
  <c r="F33" s="1"/>
  <c r="G23"/>
  <c r="G32"/>
  <c r="G33" s="1"/>
  <c r="L23"/>
  <c r="L32"/>
  <c r="L33" s="1"/>
  <c r="J23"/>
  <c r="J32"/>
  <c r="J33" s="1"/>
  <c r="S23"/>
  <c r="S32"/>
  <c r="S33" s="1"/>
  <c r="V22"/>
  <c r="W22" s="1"/>
  <c r="O32"/>
  <c r="O384" i="13"/>
  <c r="V382"/>
  <c r="W382" s="1"/>
  <c r="V28" i="15"/>
  <c r="W28" s="1"/>
  <c r="E326" i="13"/>
  <c r="V310"/>
  <c r="V97" i="4"/>
  <c r="V93"/>
  <c r="W93" s="1"/>
  <c r="V52"/>
  <c r="W52" s="1"/>
  <c r="O23" i="15" l="1"/>
  <c r="V420" i="13"/>
  <c r="V21" i="15"/>
  <c r="W21" s="1"/>
  <c r="O33"/>
  <c r="O292" i="13"/>
  <c r="V292" s="1"/>
  <c r="V290"/>
  <c r="W290" s="1"/>
  <c r="V32" i="15"/>
  <c r="W32" s="1"/>
  <c r="O386" i="13"/>
  <c r="V386" s="1"/>
  <c r="V384"/>
  <c r="W384" s="1"/>
  <c r="E328"/>
  <c r="V328" s="1"/>
  <c r="V326"/>
  <c r="W326" s="1"/>
  <c r="V53" i="4"/>
  <c r="W53" s="1"/>
  <c r="V23" i="15" l="1"/>
  <c r="W23" s="1"/>
  <c r="V54" i="4"/>
  <c r="W54" s="1"/>
  <c r="V55" l="1"/>
  <c r="W55" s="1"/>
  <c r="V56" l="1"/>
  <c r="W56" s="1"/>
  <c r="V57"/>
  <c r="W57" s="1"/>
  <c r="V58" l="1"/>
  <c r="W58" s="1"/>
  <c r="C104" l="1"/>
  <c r="D104"/>
  <c r="G104"/>
  <c r="F104"/>
  <c r="J104"/>
  <c r="I104"/>
  <c r="M104"/>
  <c r="L104"/>
  <c r="P104"/>
  <c r="O104"/>
  <c r="S104"/>
  <c r="V103"/>
  <c r="W103" s="1"/>
  <c r="R104"/>
  <c r="O208" l="1"/>
  <c r="O111"/>
  <c r="L208"/>
  <c r="L111"/>
  <c r="I208"/>
  <c r="I111"/>
  <c r="F208"/>
  <c r="F111"/>
  <c r="D208"/>
  <c r="D111"/>
  <c r="R208"/>
  <c r="R111"/>
  <c r="S208"/>
  <c r="S111"/>
  <c r="P208"/>
  <c r="P111"/>
  <c r="M208"/>
  <c r="M111"/>
  <c r="J208"/>
  <c r="J111"/>
  <c r="G208"/>
  <c r="G111"/>
  <c r="C208"/>
  <c r="C111"/>
  <c r="R210"/>
  <c r="R212" s="1"/>
  <c r="P210"/>
  <c r="P212" s="1"/>
  <c r="M210"/>
  <c r="M212" s="1"/>
  <c r="O210"/>
  <c r="O212" s="1"/>
  <c r="L210"/>
  <c r="L212" s="1"/>
  <c r="I210"/>
  <c r="I212" s="1"/>
  <c r="F210"/>
  <c r="F212" s="1"/>
  <c r="D210"/>
  <c r="D212" s="1"/>
  <c r="S210"/>
  <c r="S212" s="1"/>
  <c r="J210"/>
  <c r="J212" s="1"/>
  <c r="G210"/>
  <c r="G212" s="1"/>
  <c r="C210"/>
  <c r="V208"/>
  <c r="W208" s="1"/>
  <c r="V104"/>
  <c r="W104" s="1"/>
  <c r="C212" l="1"/>
  <c r="V212" s="1"/>
  <c r="V210"/>
  <c r="W210" s="1"/>
  <c r="D119"/>
  <c r="D113"/>
  <c r="F119"/>
  <c r="F113"/>
  <c r="C119"/>
  <c r="C113"/>
  <c r="J119"/>
  <c r="J113"/>
  <c r="P119"/>
  <c r="P113"/>
  <c r="R119"/>
  <c r="R113"/>
  <c r="O119"/>
  <c r="O113"/>
  <c r="L119"/>
  <c r="L113"/>
  <c r="G119"/>
  <c r="G113"/>
  <c r="M119"/>
  <c r="M113"/>
  <c r="S119"/>
  <c r="S113"/>
  <c r="I119"/>
  <c r="I113"/>
  <c r="V111"/>
  <c r="W111" s="1"/>
  <c r="W31" i="15" l="1"/>
  <c r="I121" i="4"/>
  <c r="I123" s="1"/>
  <c r="I35" i="15"/>
  <c r="S121" i="4"/>
  <c r="S123" s="1"/>
  <c r="S35" i="15"/>
  <c r="M121" i="4"/>
  <c r="M123" s="1"/>
  <c r="M35" i="15"/>
  <c r="G121" i="4"/>
  <c r="G123" s="1"/>
  <c r="G35" i="15"/>
  <c r="L121" i="4"/>
  <c r="L123" s="1"/>
  <c r="L35" i="15"/>
  <c r="O121" i="4"/>
  <c r="O123" s="1"/>
  <c r="O35" i="15"/>
  <c r="R121" i="4"/>
  <c r="R123" s="1"/>
  <c r="R35" i="15"/>
  <c r="P121" i="4"/>
  <c r="P123" s="1"/>
  <c r="P35" i="15"/>
  <c r="J121" i="4"/>
  <c r="J123" s="1"/>
  <c r="J35" i="15"/>
  <c r="C121" i="4"/>
  <c r="C123" s="1"/>
  <c r="F121"/>
  <c r="F123" s="1"/>
  <c r="F35" i="15"/>
  <c r="D121" i="4"/>
  <c r="D123" s="1"/>
  <c r="D35" i="15"/>
  <c r="V119" i="4"/>
  <c r="W119" s="1"/>
  <c r="O115"/>
  <c r="I115"/>
  <c r="J115"/>
  <c r="L115"/>
  <c r="F115"/>
  <c r="D115"/>
  <c r="R115"/>
  <c r="S115"/>
  <c r="P115"/>
  <c r="M115"/>
  <c r="G115"/>
  <c r="V121" l="1"/>
  <c r="W121" s="1"/>
  <c r="V123"/>
  <c r="W11" i="15"/>
  <c r="C115" i="4"/>
  <c r="V115" s="1"/>
  <c r="V113"/>
  <c r="W113" s="1"/>
  <c r="V31"/>
  <c r="W31" s="1"/>
  <c r="C35" i="15" l="1"/>
  <c r="V35" s="1"/>
  <c r="V33"/>
  <c r="W33" s="1"/>
  <c r="V33" i="4"/>
  <c r="W33" s="1"/>
  <c r="B35"/>
  <c r="V35" l="1"/>
  <c r="V233" l="1"/>
  <c r="W233" s="1"/>
  <c r="B234"/>
  <c r="V234" l="1"/>
  <c r="W234" s="1"/>
  <c r="B236"/>
  <c r="V236" s="1"/>
</calcChain>
</file>

<file path=xl/sharedStrings.xml><?xml version="1.0" encoding="utf-8"?>
<sst xmlns="http://schemas.openxmlformats.org/spreadsheetml/2006/main" count="4360" uniqueCount="1388">
  <si>
    <t>Padstow Bay</t>
  </si>
  <si>
    <t>Studland Bay</t>
  </si>
  <si>
    <t>Mounts Bay</t>
  </si>
  <si>
    <t>Poole Harbour Commissioners</t>
  </si>
  <si>
    <t>Navigational Dredge</t>
  </si>
  <si>
    <t>Swash Channel maintenance dredge</t>
  </si>
  <si>
    <t>Axe Estuary Harbour Company</t>
  </si>
  <si>
    <t>Harbour maintenance dredge</t>
  </si>
  <si>
    <t>Harbour mouth maintenance dredge</t>
  </si>
  <si>
    <t>Port Authority</t>
  </si>
  <si>
    <t>Axe Estuary</t>
  </si>
  <si>
    <t>Average number of license applications per year (2001-2010)</t>
  </si>
  <si>
    <t>Typical number of trips to the disposal site per annum</t>
  </si>
  <si>
    <t xml:space="preserve">*Present value is calculated as total cost multiplied by discount factor.  The discount factor is calculated using a discount rate of 3.5% (based on guidance in H.M. Treasury (2007)). Discounting is used to reflect society’s preference to defer costs to future generations (and to receive goods and services sooner rather than later). </t>
  </si>
  <si>
    <t>Year</t>
  </si>
  <si>
    <t>Total</t>
  </si>
  <si>
    <t>No. of year in analysis</t>
  </si>
  <si>
    <t>One-off Costs</t>
  </si>
  <si>
    <t>Annual Costs</t>
  </si>
  <si>
    <t>Time period</t>
  </si>
  <si>
    <t>PL031</t>
  </si>
  <si>
    <t>Rame Head South</t>
  </si>
  <si>
    <t>PL100</t>
  </si>
  <si>
    <t>LU010</t>
  </si>
  <si>
    <t>per year</t>
  </si>
  <si>
    <t>Source: Cefas (unless otherwise stated)</t>
  </si>
  <si>
    <t>South East</t>
  </si>
  <si>
    <t>DV040</t>
  </si>
  <si>
    <t>EASTBOURNE</t>
  </si>
  <si>
    <t>DV045</t>
  </si>
  <si>
    <t>WISH TOWER</t>
  </si>
  <si>
    <t>WI010</t>
  </si>
  <si>
    <t>NEWHAVEN</t>
  </si>
  <si>
    <t>WI020</t>
  </si>
  <si>
    <t>BRIGHTON/ ROTTINGDEAN</t>
  </si>
  <si>
    <t>TH062</t>
  </si>
  <si>
    <t>MALDON SALTINGS</t>
  </si>
  <si>
    <t>TH212</t>
  </si>
  <si>
    <t>ALRESFORD SALTINGS</t>
  </si>
  <si>
    <t>TH215</t>
  </si>
  <si>
    <t>WIVENHOE OVERFLOW</t>
  </si>
  <si>
    <t>DV011</t>
  </si>
  <si>
    <t>DOVER - EMERGENCY SITE</t>
  </si>
  <si>
    <t>TH103</t>
  </si>
  <si>
    <t>GARRISON POINT</t>
  </si>
  <si>
    <t>WI071</t>
  </si>
  <si>
    <t>RYDE HARBOUR</t>
  </si>
  <si>
    <t>WI060</t>
  </si>
  <si>
    <t>NAB TOWER</t>
  </si>
  <si>
    <t>TH031</t>
  </si>
  <si>
    <t>IPSWICH FOX</t>
  </si>
  <si>
    <t>TH034</t>
  </si>
  <si>
    <t>RIVER ORWELL (ABP)</t>
  </si>
  <si>
    <t>TH036</t>
  </si>
  <si>
    <t>RIVER ORWELL</t>
  </si>
  <si>
    <t>TH037</t>
  </si>
  <si>
    <t>ORWELL WEST</t>
  </si>
  <si>
    <t>TH053</t>
  </si>
  <si>
    <t>ORWELL EAST</t>
  </si>
  <si>
    <t>TH200</t>
  </si>
  <si>
    <t>STOUR WATER COLUMN 2</t>
  </si>
  <si>
    <t>STOUR WATER COLUMN 3</t>
  </si>
  <si>
    <t>TH202</t>
  </si>
  <si>
    <t>ERWARTON BAY</t>
  </si>
  <si>
    <t>TH203</t>
  </si>
  <si>
    <t>COPPERAS BAY</t>
  </si>
  <si>
    <t>TH204</t>
  </si>
  <si>
    <t>COPPERAS BAY 2</t>
  </si>
  <si>
    <t>TH205</t>
  </si>
  <si>
    <t>HOLBROOK BAY</t>
  </si>
  <si>
    <t>TH206</t>
  </si>
  <si>
    <t>JACQUES BAY</t>
  </si>
  <si>
    <t>TH207</t>
  </si>
  <si>
    <t>ERWARTON EAST</t>
  </si>
  <si>
    <t>TH208</t>
  </si>
  <si>
    <t>COPPERAS EAST</t>
  </si>
  <si>
    <t>TH209</t>
  </si>
  <si>
    <t>COPPERAS WEST</t>
  </si>
  <si>
    <t>TH210</t>
  </si>
  <si>
    <t>HOLBROOK BAY 1</t>
  </si>
  <si>
    <t>RIVER STOUR (AREA 1 SUBTIDAL S</t>
  </si>
  <si>
    <t>TH213</t>
  </si>
  <si>
    <t>WRABNESS BEACH</t>
  </si>
  <si>
    <t>TH214</t>
  </si>
  <si>
    <t>TITCHMARSH SALTINGS</t>
  </si>
  <si>
    <t>TH216</t>
  </si>
  <si>
    <t>COPPERAS</t>
  </si>
  <si>
    <t>TH217</t>
  </si>
  <si>
    <t>ERWARTON TRACK</t>
  </si>
  <si>
    <t>TH218</t>
  </si>
  <si>
    <t>ORWELL WEST TRACK</t>
  </si>
  <si>
    <t>TH219</t>
  </si>
  <si>
    <t>ORWELL EAST TRACK</t>
  </si>
  <si>
    <t>TH146</t>
  </si>
  <si>
    <t>RAMSGATE HARBOUR SITE A</t>
  </si>
  <si>
    <t>TH147</t>
  </si>
  <si>
    <t>RAMSGATE HARBOUR SITE B</t>
  </si>
  <si>
    <t>WI080</t>
  </si>
  <si>
    <t>HURST FORT</t>
  </si>
  <si>
    <t>North Sea</t>
  </si>
  <si>
    <t>HU015</t>
  </si>
  <si>
    <t>Bridlington A</t>
  </si>
  <si>
    <t>RA 9</t>
  </si>
  <si>
    <t>TY022</t>
  </si>
  <si>
    <t>Amble Marina Outfall</t>
  </si>
  <si>
    <t>NG 13</t>
  </si>
  <si>
    <t>TY025</t>
  </si>
  <si>
    <t>Coquet Island</t>
  </si>
  <si>
    <t>TY041</t>
  </si>
  <si>
    <t>Blyth A</t>
  </si>
  <si>
    <t>TY070</t>
  </si>
  <si>
    <t>North Tynne</t>
  </si>
  <si>
    <t>TY181</t>
  </si>
  <si>
    <t>Cleveland Potash outfall</t>
  </si>
  <si>
    <t>NG 11</t>
  </si>
  <si>
    <t>IS164</t>
  </si>
  <si>
    <t>RIBBLE LINK</t>
  </si>
  <si>
    <t>IS165</t>
  </si>
  <si>
    <t>SAVICK BROOK</t>
  </si>
  <si>
    <t>IS170</t>
  </si>
  <si>
    <t>MORECAMBE BAY: LUNE DEEP</t>
  </si>
  <si>
    <t>IS192</t>
  </si>
  <si>
    <t>LUNE RIVER B</t>
  </si>
  <si>
    <t>Discount factor @3.5%</t>
  </si>
  <si>
    <t>All regions</t>
  </si>
  <si>
    <t>Assumption</t>
  </si>
  <si>
    <t>South East (* please note that the no. of dredge licenses issued in this site is not clear. Data for this region has been provided by Crown Estate (GIS layer) and the Regional Project Team (anecdotal))</t>
  </si>
  <si>
    <t>Port of London Authority</t>
  </si>
  <si>
    <t>Medway Ports</t>
  </si>
  <si>
    <t>Not known</t>
  </si>
  <si>
    <t xml:space="preserve">Yarmouth Harbour Commission </t>
  </si>
  <si>
    <t>Liverpool</t>
  </si>
  <si>
    <t>Mersey Dock Jetties and Stages maintenance dredge</t>
  </si>
  <si>
    <t>River Mersey Jetties and Stages maintenance dredge</t>
  </si>
  <si>
    <t>Sea Channels (Queens and Crosby) maintenance dredge</t>
  </si>
  <si>
    <t>Fleetwood</t>
  </si>
  <si>
    <t>Wyre River (Fleetwood Port) maintenance dredge</t>
  </si>
  <si>
    <t>Maintenance and navigational dredging</t>
  </si>
  <si>
    <t>Navigational dredging associated with Lymington and Yarmouth</t>
  </si>
  <si>
    <t>Maintenance and navigational dredging associated with Sovereign Harbour</t>
  </si>
  <si>
    <t>Premier Marinas, Sovereign Harbour (Eastbourne)</t>
  </si>
  <si>
    <t>Harwich Haven Authority</t>
  </si>
  <si>
    <t>Navigational and maintenance dredging</t>
  </si>
  <si>
    <t>Maintenance dredging</t>
  </si>
  <si>
    <t>Lymington Harbour Commissioner &amp; Yarmouth Harbour Commissioner</t>
  </si>
  <si>
    <t>Extensive maintenance and navigational dredging</t>
  </si>
  <si>
    <t>Navigational and maintenance dredging related to e.g. Oikos and Coryton Terminals</t>
  </si>
  <si>
    <t>Whitstable Harbour Board (authority for Favresham Creek not known)</t>
  </si>
  <si>
    <t>maintenance and navigational dredging at Margate and Ramsgate</t>
  </si>
  <si>
    <t>Port of Ramsgate (authority for Margate not known)</t>
  </si>
  <si>
    <t xml:space="preserve">Navigational dredging of main shipping channel; dredging on a much smaller scale associated with Bembridge Harbour </t>
  </si>
  <si>
    <t>Queens Harbour Master, Portsmouth</t>
  </si>
  <si>
    <t xml:space="preserve">dredging of the main channel for the ammunitions barges; </t>
  </si>
  <si>
    <t xml:space="preserve">Hutchinson Ports; Ipswich Harbour Master? </t>
  </si>
  <si>
    <t>Crouch Harbour Authority: Brightlingsea Harbour Commissioners; possible other harbour authorities</t>
  </si>
  <si>
    <t xml:space="preserve">Dover Harbour Board </t>
  </si>
  <si>
    <t>Maintenance and navigational dredging  associated with Dover Harbour operations</t>
  </si>
  <si>
    <t>Maintenance and navigational dredging areas associated with Dover Harbour</t>
  </si>
  <si>
    <t>Brighton Marina, Newhaven Port Authority</t>
  </si>
  <si>
    <t>Associated British Ports (Southampton); Queens Harbour Master (Portsmouth);  Ryde Harbour Master</t>
  </si>
  <si>
    <t>Queens Harbour Master (Portsmouth) and Bembridge Harbour Trust</t>
  </si>
  <si>
    <t>Additional assessment cost per future licence application</t>
  </si>
  <si>
    <t>GVA; £millions; constant prices</t>
  </si>
  <si>
    <t>Source: MB106 contract and Cefas (unless otherwise stated)</t>
  </si>
  <si>
    <t>PL019</t>
  </si>
  <si>
    <t>BOLT HEAD</t>
  </si>
  <si>
    <t/>
  </si>
  <si>
    <t>BOURNEMOUTH BEACH</t>
  </si>
  <si>
    <t>Poole Rocks</t>
  </si>
  <si>
    <t>WI111</t>
  </si>
  <si>
    <t>BROWNSEA EXPERIMENTAL</t>
  </si>
  <si>
    <t>PL005</t>
  </si>
  <si>
    <t>CASTLE POINT</t>
  </si>
  <si>
    <t>PL021</t>
  </si>
  <si>
    <t>FORT PICKLECOMBE Y</t>
  </si>
  <si>
    <t>GROVE POINT</t>
  </si>
  <si>
    <t>HARTLAND POINT</t>
  </si>
  <si>
    <t>PL007</t>
  </si>
  <si>
    <t>KINGSWEAR</t>
  </si>
  <si>
    <t>PL060</t>
  </si>
  <si>
    <t>LANTIC BAY</t>
  </si>
  <si>
    <t>PO100</t>
  </si>
  <si>
    <t>MEADFOOT BEACH</t>
  </si>
  <si>
    <t>Torbay</t>
  </si>
  <si>
    <t>LU170</t>
  </si>
  <si>
    <t>MILFORD HAVEN</t>
  </si>
  <si>
    <t>MORTE BAY</t>
  </si>
  <si>
    <t>NEWLYN HARBOUR</t>
  </si>
  <si>
    <t>WI100</t>
  </si>
  <si>
    <t>POOLE BAY</t>
  </si>
  <si>
    <t>PL030</t>
  </si>
  <si>
    <t>RAME HEAD</t>
  </si>
  <si>
    <t>RAME HEAD A</t>
  </si>
  <si>
    <t>PL015</t>
  </si>
  <si>
    <t>SALCOMBE A</t>
  </si>
  <si>
    <t>PL018</t>
  </si>
  <si>
    <t>SALCOMBE B</t>
  </si>
  <si>
    <t>PL010</t>
  </si>
  <si>
    <t>START BAY</t>
  </si>
  <si>
    <t>WI110</t>
  </si>
  <si>
    <t>SWANAGE BAY</t>
  </si>
  <si>
    <t>AREA 108/3</t>
  </si>
  <si>
    <t>WI065</t>
  </si>
  <si>
    <t>BASIN 1 NAVAL BASE PORTSMOUTH</t>
  </si>
  <si>
    <t>NS100</t>
  </si>
  <si>
    <t>BRITNED</t>
  </si>
  <si>
    <t>DV010</t>
  </si>
  <si>
    <t>DOVER</t>
  </si>
  <si>
    <t>WI090</t>
  </si>
  <si>
    <t>NEEDLES</t>
  </si>
  <si>
    <t>WI064</t>
  </si>
  <si>
    <t>PORTSMOUTH BALLAST</t>
  </si>
  <si>
    <t>TH073</t>
  </si>
  <si>
    <t>WHITSTABLE C</t>
  </si>
  <si>
    <t>TY020</t>
  </si>
  <si>
    <t>AMBLE</t>
  </si>
  <si>
    <t>TY042</t>
  </si>
  <si>
    <t>BLYTH A + B</t>
  </si>
  <si>
    <t>BLYTH B</t>
  </si>
  <si>
    <t>HU111</t>
  </si>
  <si>
    <t>BULL SAND FORT</t>
  </si>
  <si>
    <t>HU145</t>
  </si>
  <si>
    <t>DUDGEON</t>
  </si>
  <si>
    <t>ELLINGTON FORESHORE</t>
  </si>
  <si>
    <t>ELLINGTON SOUTH FORESHORE</t>
  </si>
  <si>
    <t>HOWDON AREA</t>
  </si>
  <si>
    <t>HU110</t>
  </si>
  <si>
    <t>HUMBER 1</t>
  </si>
  <si>
    <t>LYNEMOUTH SOUTH SHORE</t>
  </si>
  <si>
    <t>HU148</t>
  </si>
  <si>
    <t>MUNDESLEY A</t>
  </si>
  <si>
    <t>HU146</t>
  </si>
  <si>
    <t>MUNDESLEY B</t>
  </si>
  <si>
    <t>NORTH WEST ZONE AREA 107</t>
  </si>
  <si>
    <t>HU116</t>
  </si>
  <si>
    <t>PICKERILL FIELD</t>
  </si>
  <si>
    <t>SCALBY</t>
  </si>
  <si>
    <t>NG 10</t>
  </si>
  <si>
    <t>TY191</t>
  </si>
  <si>
    <t>SCARBOROUGH</t>
  </si>
  <si>
    <t>TY190</t>
  </si>
  <si>
    <t>SCARBOROUGH ROCK</t>
  </si>
  <si>
    <t>SPURN HEAD</t>
  </si>
  <si>
    <t>TYNE</t>
  </si>
  <si>
    <t>TYNE INDUSTRIAL</t>
  </si>
  <si>
    <t>TY021</t>
  </si>
  <si>
    <t>WARKWORTH HARBOUR</t>
  </si>
  <si>
    <t>TY180</t>
  </si>
  <si>
    <t>WHITBY</t>
  </si>
  <si>
    <t>DEE ESTUARY</t>
  </si>
  <si>
    <t>IS171</t>
  </si>
  <si>
    <t>FLEETWOOD CHANNEL</t>
  </si>
  <si>
    <t>IS191</t>
  </si>
  <si>
    <t>Glasson Dock</t>
  </si>
  <si>
    <t>ISLE OF MAN SITE C</t>
  </si>
  <si>
    <t>LUNE RIVER</t>
  </si>
  <si>
    <t>IS245</t>
  </si>
  <si>
    <t>MARYPORT HARBOUR DISPERSIVE</t>
  </si>
  <si>
    <t>IS200</t>
  </si>
  <si>
    <t>MORECAMBE BAY B</t>
  </si>
  <si>
    <t>IS101</t>
  </si>
  <si>
    <t>MOSTYN DEEP</t>
  </si>
  <si>
    <t>IS102</t>
  </si>
  <si>
    <t>MOSTYN DEEP (MAINTENANCE)</t>
  </si>
  <si>
    <t>PRESTON</t>
  </si>
  <si>
    <t>RIVER WYRE ESTUARY</t>
  </si>
  <si>
    <t>SALTOM BAY</t>
  </si>
  <si>
    <t>IS250</t>
  </si>
  <si>
    <t>SILLOTH</t>
  </si>
  <si>
    <t>IS230</t>
  </si>
  <si>
    <t>WHITEHAVEN</t>
  </si>
  <si>
    <t>Dredging at Poole Harbour Marina, Lilliput, Poole</t>
  </si>
  <si>
    <t>Dredging of Foreshore &amp; Bed Poole Harbour</t>
  </si>
  <si>
    <t>Felixstowe</t>
  </si>
  <si>
    <t>Reclamation of bed and dredging at Felixstowe</t>
  </si>
  <si>
    <t>Bradwell Waterside</t>
  </si>
  <si>
    <t>Dredging of Bradwell Creek, Bradwell Waterside</t>
  </si>
  <si>
    <t>Southend-on-Sea</t>
  </si>
  <si>
    <t>Dredging of Bed at Southend-on-Sea</t>
  </si>
  <si>
    <t>Dover Harbour</t>
  </si>
  <si>
    <t xml:space="preserve">Dredging &amp; widening at West Jetty, </t>
  </si>
  <si>
    <t>Newhaven</t>
  </si>
  <si>
    <t>Dredging - Aggregate wharf River Ouse</t>
  </si>
  <si>
    <t>Lymington</t>
  </si>
  <si>
    <t xml:space="preserve">Dumping &amp; dredging, </t>
  </si>
  <si>
    <t>Bed at River Tyne Entrance</t>
  </si>
  <si>
    <t>Barrow</t>
  </si>
  <si>
    <t>2 x dredge areas</t>
  </si>
  <si>
    <t>Same as pRA W</t>
  </si>
  <si>
    <t>NG 1c</t>
  </si>
  <si>
    <t>Orford</t>
  </si>
  <si>
    <t>Scarborough</t>
  </si>
  <si>
    <t>Filey Cobble Landing</t>
  </si>
  <si>
    <t>Staithes</t>
  </si>
  <si>
    <t>Whitby</t>
  </si>
  <si>
    <t>Blyth</t>
  </si>
  <si>
    <t>Amble</t>
  </si>
  <si>
    <t>Alnmouth</t>
  </si>
  <si>
    <t>Seaton Sluice</t>
  </si>
  <si>
    <t>Tyne (North Shields)</t>
  </si>
  <si>
    <t>NG 13a</t>
  </si>
  <si>
    <t>Blakeney</t>
  </si>
  <si>
    <t>Morston Quay</t>
  </si>
  <si>
    <t>RA 3</t>
  </si>
  <si>
    <t>RA 4</t>
  </si>
  <si>
    <t>RA 5</t>
  </si>
  <si>
    <t>RA 6</t>
  </si>
  <si>
    <t>Wainfleet Haven</t>
  </si>
  <si>
    <t>RA 7</t>
  </si>
  <si>
    <t>Thornham</t>
  </si>
  <si>
    <t>Brancaster Staithe</t>
  </si>
  <si>
    <t>Burnham Overy staithe</t>
  </si>
  <si>
    <t>Bridlington</t>
  </si>
  <si>
    <t>RA 11</t>
  </si>
  <si>
    <t>Berwick upon Tweed</t>
  </si>
  <si>
    <t>Solway</t>
  </si>
  <si>
    <t>Silloth, Annan</t>
  </si>
  <si>
    <t>RA T</t>
  </si>
  <si>
    <t>RA Y</t>
  </si>
  <si>
    <t>RA W</t>
  </si>
  <si>
    <t>RA H</t>
  </si>
  <si>
    <t>Maryport</t>
  </si>
  <si>
    <t>RA J</t>
  </si>
  <si>
    <t>RA K</t>
  </si>
  <si>
    <t>Ravenglass</t>
  </si>
  <si>
    <t>Lytham St Annes</t>
  </si>
  <si>
    <t>Hoylake</t>
  </si>
  <si>
    <t>Additional cost that could be incurred due to MCZ designation, and estimation of likelihood (based on information provided by ports sector).</t>
  </si>
  <si>
    <t>Type of cost (one-off, or ongoing)</t>
  </si>
  <si>
    <t>Estimated additional cost - high (£) (provided by ports sector</t>
  </si>
  <si>
    <t>Year (of IA period) in which cost is likely to occur</t>
  </si>
  <si>
    <t>1a Additional costs associated with compiling MDP documents (or equivalent environmental information) to inform licensing</t>
  </si>
  <si>
    <t>Ongoing</t>
  </si>
  <si>
    <t>2013 and every six years thereafter, per MDP</t>
  </si>
  <si>
    <t xml:space="preserve">2013 and every six years thereafter, per relevant rMCZ </t>
  </si>
  <si>
    <t>Baseline sediment modelling</t>
  </si>
  <si>
    <t>Apply to 20% of disposal sites and maintained navigation channels within 5km of rMCZ</t>
  </si>
  <si>
    <t>One-off cost</t>
  </si>
  <si>
    <t>Where there is currently an inadequate understanding of sediment processes, it is likely that additional work will be required to improve understanding. This could range from local refinement of an existing model through to new survey data and construction of new sediment model</t>
  </si>
  <si>
    <t>Dredged material dispersal studies</t>
  </si>
  <si>
    <t xml:space="preserve">There may be a requirement for specific model runs to assess dispersion of dredged material from dredge areas and disposal sites. </t>
  </si>
  <si>
    <t>Discussions on/consideration of beneficial use of sediments/alternative disposal options</t>
  </si>
  <si>
    <t>Apply to 10% of disposal sites and maintained navigation channels within 5km of rMCZ</t>
  </si>
  <si>
    <t>There may be a requirement to discuss possibilities for beneficial use of sediments to maintain sediment supply to MCZ areas (as distinct from N2K sites) where these are potentially affected.</t>
  </si>
  <si>
    <t>Additional fish survey work to inform MDP baseline</t>
  </si>
  <si>
    <t>There is little detailed survey data for highly mobile species. It is possible that regulators and advisors will require additional information to improve baseline. Detailed requirements uncertain, thus large uncertainty over cost. Higher percentage reflects current lack of monitoring for fish species.</t>
  </si>
  <si>
    <t>Additional monitoring of sediment dispersion, habitats to assess impacts</t>
  </si>
  <si>
    <t>Annual cost</t>
  </si>
  <si>
    <t>Annually after 2013</t>
  </si>
  <si>
    <t>Where there is uncertainty about impacts, the SNCBs may require monitoring to validate impact hypotheses prior to requesting mitigation measures. Alternatively where mitigation measures have been implemented there may be a requirement to validate their efficacy.</t>
  </si>
  <si>
    <t>1c Cost of Additional Mitigation Measures</t>
  </si>
  <si>
    <t>Implementation of sediment management scheme and/or modifications to disposal practices</t>
  </si>
  <si>
    <t>Apply to 5% of disposal sites and maintained navigation channels within 5km of rMCZ</t>
  </si>
  <si>
    <t>2a Additional Costs associated with compiling EIAs etc</t>
  </si>
  <si>
    <t>Additional costs associated with compiling EIAs are likely to be small relative to overall costs of EIA. However, consultation costs are likely to be increased (including legal fees) and project time scales will be extended. Also creates additional risk of public inquiry.</t>
  </si>
  <si>
    <t xml:space="preserve">One-off cost for any given development, but ongoing cost in IA terms. </t>
  </si>
  <si>
    <t>2b Costs of additional studies where existing info inadequate in vicinity of MCZ</t>
  </si>
  <si>
    <t>Where there is uncertainty about impacts, the SNCBs may require monitoring to validate impact hypotheses. Where mitigation measures have been implemented there may be a requirement to validate their efficacy.</t>
  </si>
  <si>
    <t>Additional fish survey work to inform new port development</t>
  </si>
  <si>
    <t>If additional information on fish populations and movements is not collected to inform maintenance dredging and disposal renewals, then this may be required to provide adequate baseline for possible future EIA for port development.</t>
  </si>
  <si>
    <t>Additional assessment of fish to inform port development EIA</t>
  </si>
  <si>
    <t>Should the proposed port development entail  percussive piling, it is possible that additional detailed underwater noise modelling could be required to inform assessments of impacts to fish</t>
  </si>
  <si>
    <t>Additional monitoring of construction works to protect fish</t>
  </si>
  <si>
    <t>Depending on the outcome of the EIA, it may be necessary to deploy monitoring equipment to monitor sediment plumes, dissolved oxygen and/or underwater noise levels to protect fish. It may also be necessary to monitor fish populations during construction. If monitoring is also required in relation to sediment plumes and habitat impacts, some of these costs could be avoided.</t>
  </si>
  <si>
    <t>Additional monitoring post-construction to protect fish</t>
  </si>
  <si>
    <t>It may be necessary to implement a long-term monitoring programme for fish following construction of new port development</t>
  </si>
  <si>
    <t>2c Cost of Additional Mitigation Measures (Due to MCZ)</t>
  </si>
  <si>
    <t>It may be necessary to implement mitigation measures where sediment impacts are affecting condition of features. Costs will be very site specific. Should it be necessary to relocate a disposal site, annual costs could be considerably greater than £1m, depending on alternatives</t>
  </si>
  <si>
    <t xml:space="preserve">Additional costs in a public inquiry, with regard to proposed port development in vicinity of a MCZ designation
</t>
  </si>
  <si>
    <t>Recurring cost every 3 years</t>
  </si>
  <si>
    <t>Every 3 yrs after 2013</t>
  </si>
  <si>
    <t>Very difficult to estimate this</t>
  </si>
  <si>
    <t>Mitigation of capital dredging associated with port development</t>
  </si>
  <si>
    <t>If dredging plumes were identified as an issue for fish or habitats, this could require mitigaiton measures such as timing controls, changes in methods or dredging rates and/or change  in disposal location. The cost impact of such measures (should they be required) is very uncertain</t>
  </si>
  <si>
    <t>Mitigation of percussive piling wrt fish</t>
  </si>
  <si>
    <t>Mitigation of fish impacts</t>
  </si>
  <si>
    <t>Annual cost for 10 years</t>
  </si>
  <si>
    <t>Annually after 2013 for 10 yrs</t>
  </si>
  <si>
    <t>Closure of disposal site.</t>
  </si>
  <si>
    <t xml:space="preserve">Potential to occur once during IA period due to extra MCZ designation. </t>
  </si>
  <si>
    <t>One off</t>
  </si>
  <si>
    <t>Closure of dredge channel</t>
  </si>
  <si>
    <t xml:space="preserve">Potential to occur once during IA period due to MCZ designation only. Assume would be a small port rather than major port. </t>
  </si>
  <si>
    <t>One-off</t>
  </si>
  <si>
    <t>Closure of designated anchorage</t>
  </si>
  <si>
    <t xml:space="preserve">Potential to occur to 15% of overalloring anchorages. </t>
  </si>
  <si>
    <t>Speed / draught restrictions on visiting vessels</t>
  </si>
  <si>
    <t xml:space="preserve">Potential to occur once during the IA period due to MCZ designation only. </t>
  </si>
  <si>
    <t>Future blight of port development associated with MCZ designation</t>
  </si>
  <si>
    <t>How this assumption is applied</t>
  </si>
  <si>
    <t>Comments from the sector</t>
  </si>
  <si>
    <t>Estimated additional cost in assessment of environmental impact in support of future licence applications</t>
  </si>
  <si>
    <t>Average estimate (£m)</t>
  </si>
  <si>
    <t>London</t>
  </si>
  <si>
    <t>Lundy</t>
  </si>
  <si>
    <t>Lundy RA</t>
  </si>
  <si>
    <t>Lyme Regis</t>
  </si>
  <si>
    <t>Lyme Bay RA</t>
  </si>
  <si>
    <t>Yealm</t>
  </si>
  <si>
    <t>Mouth of the Yealm RA</t>
  </si>
  <si>
    <t>Falmouth</t>
  </si>
  <si>
    <t>The Fal RA</t>
  </si>
  <si>
    <t>Falmouth (A&amp;P)</t>
  </si>
  <si>
    <t>Penryn</t>
  </si>
  <si>
    <t>St Mawes</t>
  </si>
  <si>
    <t>Axmouth</t>
  </si>
  <si>
    <t>Axmouth MCZ</t>
  </si>
  <si>
    <t>Appledore</t>
  </si>
  <si>
    <t>Bideford to Foreland Point MCZ</t>
  </si>
  <si>
    <t>Bideford</t>
  </si>
  <si>
    <t>Ilfracombe</t>
  </si>
  <si>
    <t>Lynmouth</t>
  </si>
  <si>
    <t>Watermouth Harbour</t>
  </si>
  <si>
    <t>Padstow</t>
  </si>
  <si>
    <t>Camel Estuary MCZ</t>
  </si>
  <si>
    <t>Portland Port Ltd/ Portland Harbour Authority</t>
  </si>
  <si>
    <t>Chesil Beach and Stennis Ledges MCZ</t>
  </si>
  <si>
    <t>Weymouth</t>
  </si>
  <si>
    <t>Britannia royal naval college (Dartmouth)</t>
  </si>
  <si>
    <t>Dart Estuary MCZ</t>
  </si>
  <si>
    <t>Hope Cove</t>
  </si>
  <si>
    <t>Devon Avon MCZ</t>
  </si>
  <si>
    <t>Boscastle</t>
  </si>
  <si>
    <t>Hartland Point to Tintagel MCZ</t>
  </si>
  <si>
    <t>Bude</t>
  </si>
  <si>
    <t>St Mary's Scillies</t>
  </si>
  <si>
    <t>Isles of Scilly Sites MCZ</t>
  </si>
  <si>
    <t>Tresco</t>
  </si>
  <si>
    <t>Sennen Cove</t>
  </si>
  <si>
    <t>Lands End MCZ</t>
  </si>
  <si>
    <t>Mousehole</t>
  </si>
  <si>
    <t>Mounts Bay MCZ</t>
  </si>
  <si>
    <t>Newlyn</t>
  </si>
  <si>
    <t>Penzance</t>
  </si>
  <si>
    <t>St Michael's Mount</t>
  </si>
  <si>
    <t>Newquay</t>
  </si>
  <si>
    <t>Newquay and The Gannel MCZ</t>
  </si>
  <si>
    <t>Padstow Bay and Surrounds MCZ</t>
  </si>
  <si>
    <t>Cattewater (Plymouth)</t>
  </si>
  <si>
    <t>Tamar Estuary Sites MCZ</t>
  </si>
  <si>
    <t>Devonport (Plymouth)</t>
  </si>
  <si>
    <t>Dockyard Plymouth</t>
  </si>
  <si>
    <t>HMS Raleigh (Plymouth)</t>
  </si>
  <si>
    <t>Millbay Docks (ABP Plymouth)</t>
  </si>
  <si>
    <t>Plymouth City Council</t>
  </si>
  <si>
    <t>Plymouth QHM</t>
  </si>
  <si>
    <t>Sutton Harbour</t>
  </si>
  <si>
    <t>Poole</t>
  </si>
  <si>
    <t>Poole Rocks MCZ</t>
  </si>
  <si>
    <t>Beesands</t>
  </si>
  <si>
    <t>Skerries Bank and Surrounds MCZ</t>
  </si>
  <si>
    <t>Salcombe</t>
  </si>
  <si>
    <t>Studland Bay MCZ</t>
  </si>
  <si>
    <t>Swanage</t>
  </si>
  <si>
    <t>Barnstaple</t>
  </si>
  <si>
    <t>Taw-Torridge Estuary MCZ</t>
  </si>
  <si>
    <t>Yelland</t>
  </si>
  <si>
    <t>Dartmouth-Kingswear</t>
  </si>
  <si>
    <t>Coverack</t>
  </si>
  <si>
    <t>The Manacles MCZ</t>
  </si>
  <si>
    <t>Brixham</t>
  </si>
  <si>
    <t>Torbay MCZ</t>
  </si>
  <si>
    <t>Paignton</t>
  </si>
  <si>
    <t>Torquay</t>
  </si>
  <si>
    <t>Fowey</t>
  </si>
  <si>
    <t>Upper Fowey and Pont Pill MCZ</t>
  </si>
  <si>
    <t>Polruan</t>
  </si>
  <si>
    <t>Looe</t>
  </si>
  <si>
    <t>Whitsand and Looe Bay MCZ</t>
  </si>
  <si>
    <t>Polperro</t>
  </si>
  <si>
    <t>Portwrinkle</t>
  </si>
  <si>
    <t>Navigational dredging - additional cost in future licence applications</t>
  </si>
  <si>
    <t>Port</t>
  </si>
  <si>
    <t>Harwich Haven</t>
  </si>
  <si>
    <t>Harwich International</t>
  </si>
  <si>
    <t>Harwich Navyard</t>
  </si>
  <si>
    <t>Mistley</t>
  </si>
  <si>
    <t>Ipswich</t>
  </si>
  <si>
    <t>Burnham on Crouch</t>
  </si>
  <si>
    <t>Wivenhoe</t>
  </si>
  <si>
    <t>Fingringhoe</t>
  </si>
  <si>
    <t>Maldon</t>
  </si>
  <si>
    <t>Rochford</t>
  </si>
  <si>
    <t>Brightlingsea</t>
  </si>
  <si>
    <t>Dartford</t>
  </si>
  <si>
    <t>Purfleet</t>
  </si>
  <si>
    <t>Tilbury</t>
  </si>
  <si>
    <t>Leigh-on sea</t>
  </si>
  <si>
    <t>Thamesport</t>
  </si>
  <si>
    <t>Queenborough</t>
  </si>
  <si>
    <t>Gillingham</t>
  </si>
  <si>
    <t>Kingsnorth</t>
  </si>
  <si>
    <t>Rochester</t>
  </si>
  <si>
    <t>Chatham</t>
  </si>
  <si>
    <t>Sheerness</t>
  </si>
  <si>
    <t>MCZ 6 Medway Estuary</t>
  </si>
  <si>
    <t>Whitstable</t>
  </si>
  <si>
    <t>Ridham Dock</t>
  </si>
  <si>
    <t>MCZ 10 Swale Estuary</t>
  </si>
  <si>
    <t>Faversham</t>
  </si>
  <si>
    <t xml:space="preserve"> Broadstairs</t>
  </si>
  <si>
    <t>Ramsgate</t>
  </si>
  <si>
    <t>Herne Bay</t>
  </si>
  <si>
    <t>Margate</t>
  </si>
  <si>
    <t>PL009</t>
  </si>
  <si>
    <t>PL011</t>
  </si>
  <si>
    <t>Bideford to Foreland Point</t>
  </si>
  <si>
    <t>Average estimate (£m) per application</t>
  </si>
  <si>
    <t>No. licence applications assumed per dredge area every 3 years</t>
  </si>
  <si>
    <t>Assuming each port applies for one licence for each dredge area to be dredged at one time, it is assumed that a maintenance dredge marine licence will be renewed once every 3 years from 1st yr of IA, and an assessment of environmental impact upon MCZ features is undertaken for each renewal</t>
  </si>
  <si>
    <t>Navigational Dredge Areas</t>
  </si>
  <si>
    <t>Port Developments - Additional future licence application costs</t>
  </si>
  <si>
    <t>BS07 Thanet</t>
  </si>
  <si>
    <t>BS06  Medway</t>
  </si>
  <si>
    <t>BS05 reference area 3 Holehaven Creek</t>
  </si>
  <si>
    <t>BS05 Thames Estuary</t>
  </si>
  <si>
    <t>BS10 Swale</t>
  </si>
  <si>
    <t>BS03 Blackwater</t>
  </si>
  <si>
    <t xml:space="preserve">BS02 Reference area 24 Harwich Haven </t>
  </si>
  <si>
    <t xml:space="preserve">BS02 Reference area 22 North Mistley </t>
  </si>
  <si>
    <t xml:space="preserve">BS20 The Needles </t>
  </si>
  <si>
    <t>BS02 Stour and Orwell</t>
  </si>
  <si>
    <t>BS11.1  Dover to Deal</t>
  </si>
  <si>
    <t>BS11.2  Dover to Folkestone</t>
  </si>
  <si>
    <t>BS13.1 Beachy Head East</t>
  </si>
  <si>
    <t>BS13.2 Beachy Head West</t>
  </si>
  <si>
    <t>BS19 Norris to Ryde</t>
  </si>
  <si>
    <t xml:space="preserve">BS22 Bembridge </t>
  </si>
  <si>
    <t xml:space="preserve">BS23 Yarmouth to Cowes </t>
  </si>
  <si>
    <t xml:space="preserve">BS24.1 Fareham Creek </t>
  </si>
  <si>
    <t>BRIDLINGTON A</t>
  </si>
  <si>
    <t>AMBLE MARINA OUTFALL</t>
  </si>
  <si>
    <t>COQUET ISLAND</t>
  </si>
  <si>
    <t>BLYTH A</t>
  </si>
  <si>
    <t>NORTH TYNNE</t>
  </si>
  <si>
    <t>CLEVELAND POTASH OUTFALL</t>
  </si>
  <si>
    <t>Expected additional cost of using the western half of the disposal site per trip (£m)</t>
  </si>
  <si>
    <t>Tyipcal per annum increase in disposal costs (£m)</t>
  </si>
  <si>
    <t>The Fal Reference Area</t>
  </si>
  <si>
    <t>Falmouth Harbour Commissioners</t>
  </si>
  <si>
    <t>Planned capital dredge</t>
  </si>
  <si>
    <t>Planned capital dredge. One-off cost, assumed to occur in 2013</t>
  </si>
  <si>
    <t>Carried out under harbour order &amp; dredging protocol. Additional costs when updating baseline doc. Assumed every 3 years</t>
  </si>
  <si>
    <t>Maintenance dredge marine licence renewed once every 5 years from 2016, and an assessment of environmental impact upon MCZ features is undertaken for each renewal</t>
  </si>
  <si>
    <t>Harbour</t>
  </si>
  <si>
    <t>Licence applications</t>
  </si>
  <si>
    <t>Total cost per year</t>
  </si>
  <si>
    <t>Total annual costs (£million)</t>
  </si>
  <si>
    <t xml:space="preserve">Falmouth Harbour Commissioners </t>
  </si>
  <si>
    <t>1. Bunkering at the Cross Roads Buoy</t>
  </si>
  <si>
    <t>(£m) expected loss of revenue/yr from 2013</t>
  </si>
  <si>
    <t>(£m) expected reduction in  gross UK GVA from decline in bunkering activity</t>
  </si>
  <si>
    <t>2. Loss of RFA contract</t>
  </si>
  <si>
    <t>(£m) revenue/yr from 2013 (assuming contract is continued indefinitely)</t>
  </si>
  <si>
    <t>(£m) Net loss in revenue/yr</t>
  </si>
  <si>
    <t>(£m) expected reduction in  gross UK GVA from loss of RFA contract</t>
  </si>
  <si>
    <t>3. 1 +2 = Total cost</t>
  </si>
  <si>
    <t xml:space="preserve">Gross and Net Direct Impact on UK GVA </t>
  </si>
  <si>
    <t>(£m) Gross direct UK GVA impact (reduction) per annum from 2013</t>
  </si>
  <si>
    <t>(£m) Net (of displacement and substitution) direct UK GVA impact (reduction) per annum from 2013</t>
  </si>
  <si>
    <t xml:space="preserve">Estimated additional cost in assessment of environmental impact in support of future licence applications. </t>
  </si>
  <si>
    <t>Burnmouth</t>
  </si>
  <si>
    <t>RA 2a&amp;2b</t>
  </si>
  <si>
    <t>Workington</t>
  </si>
  <si>
    <t>Whitehaven</t>
  </si>
  <si>
    <t>Lancaster</t>
  </si>
  <si>
    <t>Heysham</t>
  </si>
  <si>
    <t>MCZ 11.1 Dover to Deal</t>
  </si>
  <si>
    <t>Dover</t>
  </si>
  <si>
    <t>Folkestone</t>
  </si>
  <si>
    <t>Brighton</t>
  </si>
  <si>
    <t xml:space="preserve">Portsmouth </t>
  </si>
  <si>
    <t xml:space="preserve"> Ventnor</t>
  </si>
  <si>
    <t>Fishbourne</t>
  </si>
  <si>
    <t>Cowes</t>
  </si>
  <si>
    <t xml:space="preserve"> Keyhaven</t>
  </si>
  <si>
    <t>Ryde</t>
  </si>
  <si>
    <t>Yarmouth</t>
  </si>
  <si>
    <t>RA 7 South Foreland Lighthouse</t>
  </si>
  <si>
    <t>MCZ 11.2 Dover to Folkestone</t>
  </si>
  <si>
    <t xml:space="preserve">MCZ 13.1 </t>
  </si>
  <si>
    <t xml:space="preserve"> RA 9 Belle Tout to Beachy Head Lighthouse</t>
  </si>
  <si>
    <t>MCZ 13.2</t>
  </si>
  <si>
    <t>MCZ 24.2 Fareham Creek</t>
  </si>
  <si>
    <t>Mcz 22</t>
  </si>
  <si>
    <t>RA 21 Culver Spit</t>
  </si>
  <si>
    <t>RA 15 Tyne Ledges</t>
  </si>
  <si>
    <t>Bembridge</t>
  </si>
  <si>
    <t>MCZ 19</t>
  </si>
  <si>
    <t>RA 16 Wootton Old Mill pond</t>
  </si>
  <si>
    <t>RA 17 King’s Quay</t>
  </si>
  <si>
    <t>MCZ 23 Yarmouth to Cowes</t>
  </si>
  <si>
    <t>Eastbourne</t>
  </si>
  <si>
    <t xml:space="preserve">Flamborough Landing </t>
  </si>
  <si>
    <t>Port Developments - Additional future costs in existing Maintenance Dredge Protocols (MDPs)</t>
  </si>
  <si>
    <t>Port Developments - Additional future costs in new Maintenance Dredge Protocols (MDPs)</t>
  </si>
  <si>
    <t>Estimated additional cost of new MDPs</t>
  </si>
  <si>
    <t>Navigational dredging - additional mitigation cost</t>
  </si>
  <si>
    <t>One application in 2014 and one in 2017</t>
  </si>
  <si>
    <t>Assumptions</t>
  </si>
  <si>
    <t>Total  revenue</t>
  </si>
  <si>
    <t>£116m</t>
  </si>
  <si>
    <t>corresponding GVA</t>
  </si>
  <si>
    <t>£75m</t>
  </si>
  <si>
    <t>Cost of removing Buoy</t>
  </si>
  <si>
    <t xml:space="preserve">Beach Head East </t>
  </si>
  <si>
    <t>Increased one-off cost to update baselines in existing MDPs is assumed to be 50% of £6750 which is £3375. Nine MDPs are known to exists in the MCZ project area as given below. The cost is assumed to occur in 2013.</t>
  </si>
  <si>
    <t xml:space="preserve">Five per year after 2013 </t>
  </si>
  <si>
    <t>Large uncertainty about cost impacts because these are very site specific. If public inquiry was triggered, cost could potentially be many £m</t>
  </si>
  <si>
    <t>Assume 1 every 3 years</t>
  </si>
  <si>
    <t>One per year after 2013 .</t>
  </si>
  <si>
    <t>Not possible to estimate at this time</t>
  </si>
  <si>
    <t xml:space="preserve">There is no known costs of this. </t>
  </si>
  <si>
    <t>None.</t>
  </si>
  <si>
    <t>one per annum. after 2013.</t>
  </si>
  <si>
    <t>Two per year after 2013</t>
  </si>
  <si>
    <t>One per year after 2013</t>
  </si>
  <si>
    <t xml:space="preserve">one every four years after 2013 </t>
  </si>
  <si>
    <t>Annual Average</t>
  </si>
  <si>
    <t>Industry Assumption</t>
  </si>
  <si>
    <t>20% of total</t>
  </si>
  <si>
    <t>10% of total</t>
  </si>
  <si>
    <t>50% of total</t>
  </si>
  <si>
    <t>5% of total</t>
  </si>
  <si>
    <t xml:space="preserve">Two per year after 2013. </t>
  </si>
  <si>
    <t xml:space="preserve">Two per year after 2013  </t>
  </si>
  <si>
    <t>?</t>
  </si>
  <si>
    <t>South West  - Finding Sanctuary (data has been provided by the Crown Estate)</t>
  </si>
  <si>
    <t>North Sea - Net Gain (data has been provided by Crown Estate and Anatec)</t>
  </si>
  <si>
    <t>Irish Sea - Irish Sea Conservation Zones (data has been provided by Crown Estate and individual port owners)</t>
  </si>
  <si>
    <t>South West - Finding Sanctuary</t>
  </si>
  <si>
    <t>Typical per annum increase in disposal costs (£m)</t>
  </si>
  <si>
    <t xml:space="preserve">Sovereign Harbour Commission has restrictions on disposal in their dredging licence where they are not permitted to dredge and dispose during May and August each year. It is likely that by dredging later in the year, bad weather will be experienced, increasing the time taken and therefore increasing costs. By dredging two smaller quantities twice a year it will also increase the rate per cubic metre. The cost of mitigation is therefore likely to be underestimated. Cost breakdowns are given below. 
(Source: Sovereign Harbour Commissioners.) </t>
  </si>
  <si>
    <t>Expected additional cost of using the western half of the disposal site per trip due to MCZ designation (£m)</t>
  </si>
  <si>
    <t>Additional fuel cost per year</t>
  </si>
  <si>
    <t>Additional cost to mobilise &amp; demobilise the dredger per year</t>
  </si>
  <si>
    <t>Additional cost to remove and replace bouyage</t>
  </si>
  <si>
    <t>Additional survey cost for 5 surveys in year</t>
  </si>
  <si>
    <t xml:space="preserve">Additional mitigation cost for The Fal reference area in the Finding Sanctuary project area. </t>
  </si>
  <si>
    <t xml:space="preserve">Additional assessment cost per future licence application for the Finding Sanctuary project area. </t>
  </si>
  <si>
    <t>* There is no duplication of costs in this Scenario (as is the case for Scenario 2)</t>
  </si>
  <si>
    <t>Average number of disposal site license applications per year (2001-2010)</t>
  </si>
  <si>
    <t>Additional mitigation costs for disposal sites</t>
  </si>
  <si>
    <t>Additional mitigation costs for navigational dredge areas</t>
  </si>
  <si>
    <t>Additional mitigation costs for new port development</t>
  </si>
  <si>
    <t>Additional mitigation costs for anchorages and mooring buoys</t>
  </si>
  <si>
    <t>Port development - additional cost in future licence applications</t>
  </si>
  <si>
    <t>Sovereign Harbour Commission has restrictions on disposal in their dredging licence where they are not permitted to dredge and dispose during May and August each year. It is likely that by dredging later in the year, bad weather will be experienced, increasing the time taken and therefore increasing costs. By dredging two smaller quantities twice a year it will also increase the rate per cubic metre. The cost of mitigation is therefore likely to be underestimated. 
(Source: Sovereign Harbour Commissioners.)</t>
  </si>
  <si>
    <t>The IA assumes that the additional mitigation is required such that dredging takes place only on outflowing tides. it is estimated that this would double the cost of dredging as the contractor would have to deploy for twice as much time. A 24hr 7 day a week operation is assumed. The total one-off additional cost is estimated at £24m and would be incurred in 2013.  
(Source: Falmouth Harbour Commissioners).</t>
  </si>
  <si>
    <t>Total cost</t>
  </si>
  <si>
    <t>Total additional cost</t>
  </si>
  <si>
    <t>Irish Sea</t>
  </si>
  <si>
    <t>Finding Sanctuary</t>
  </si>
  <si>
    <t>Balanced Seas</t>
  </si>
  <si>
    <t>Net Gain</t>
  </si>
  <si>
    <t xml:space="preserve">It is assumed that MDPs will need to be updated to reflect any MCZ designations within 5km of known port activity. There is likely to be other existing MDPs that are not known about (included in list in cell B6). Therefore, this cost could be an under-estimate. This cost is also included in Scenario 2. 
</t>
  </si>
  <si>
    <t xml:space="preserve">Implementation of a new MDP where one does not currently exist. </t>
  </si>
  <si>
    <t xml:space="preserve">Cost of preparing and MDP type document from scratch is approx £20,000. This cost is likely to be an over-estimate as there are likely to be some ports that have MDPs in place which are not currently known of (not included in cell B6). This cost is also included in Scenario 2. </t>
  </si>
  <si>
    <t>TH054</t>
  </si>
  <si>
    <t>None</t>
  </si>
  <si>
    <t>Estimated additional cost - low (£m) (provided by ports sector)</t>
  </si>
  <si>
    <t>Total one-off national cost</t>
  </si>
  <si>
    <t>Total annual national cost</t>
  </si>
  <si>
    <t>Present value of cost</t>
  </si>
  <si>
    <t>Total costs</t>
  </si>
  <si>
    <t>New port development</t>
  </si>
  <si>
    <t>Total (with duplication removed)</t>
  </si>
  <si>
    <t>Low</t>
  </si>
  <si>
    <t>High</t>
  </si>
  <si>
    <t>MCZ 2 Stour &amp; Orwell Estuaries</t>
  </si>
  <si>
    <t>RA 24 Harwich Haven</t>
  </si>
  <si>
    <t>RA 22 North Mistley</t>
  </si>
  <si>
    <t>MCZ 3 Blackwater, Crouch, Roach &amp; Colne Estuaries</t>
  </si>
  <si>
    <t>RA 1 Colne Point</t>
  </si>
  <si>
    <t>MCZ 5 Thames Estuary</t>
  </si>
  <si>
    <t>RA 3 Holehaven Creek</t>
  </si>
  <si>
    <t>MCZ 7 Thanet Coast</t>
  </si>
  <si>
    <t>RA 4 Westgate Promontory</t>
  </si>
  <si>
    <t>RA 5 Turner Contemporary</t>
  </si>
  <si>
    <t>Total one-off costs</t>
  </si>
  <si>
    <t>Total annual costs</t>
  </si>
  <si>
    <t>Preston</t>
  </si>
  <si>
    <t>Sellafield</t>
  </si>
  <si>
    <t>maintenance and navigation channels associated with Faversham and Whitstable</t>
  </si>
  <si>
    <t>Liverpool Dock System maintenance dredge</t>
  </si>
  <si>
    <t>Maintenance and navigational dredging at Margate and Ramsgate</t>
  </si>
  <si>
    <t>Estimated additional one-off mitigation cost occurring in 2013</t>
  </si>
  <si>
    <t>The recommended mitigation is a Relocation of Cross-Roads Buoy.  Falmouth Harbour Commissioners have advised this is not possible. As such it is assumed the buoy would need to be removed at a total additional cost of £0.035m. The cost breakdown is given below. GVA as a percentage of revenue is assumed to be 65% (Source: Finding Sanctuary calculation based on Port of Falmouth Masterplan (Roger Tym &amp; Partners, 2011); 2009 data.) This percentage has been used to estimate the impact on UK GVA as a result of changes in Port of Falmouth revenue streams.</t>
  </si>
  <si>
    <t>Estimated additional cost to update baselines in existing MDPs</t>
  </si>
  <si>
    <t>Increased one-off cost to produce new MDPs for ports where none are known to currently be in existence. An additional cost of £20,000 for each new MDP is assumed. To reflect the uncertainty over the number of new MDPs required, two figures are used to present a range of costs. The high cost assumes one new MDP for all ports currently without a MDP (122 in total). The low cost assumes an average of four ports grouped together to produce a MDP and as such an average of 32.75 new MDPs are required. The cost is assumed to occur in 2013. These costs are assessed at a national level only.</t>
  </si>
  <si>
    <t xml:space="preserve">1b Additional studies to inform baseline (or equivalent) study where existing information is inadequate in terms of MCZ features. </t>
  </si>
  <si>
    <t>If percussive piling was identified as an issue for fish, this could require mitigation measures such as timing controls, changes in methods, use of bubble curtains etc. The cost impact of such measures (should they be required) is very uncertain.</t>
  </si>
  <si>
    <t>It may be necessary to provide mitigation/offsetting measures to address any residual uncertainty in impacts (e.g. payment to improve smelt spawning habitat, payment for installation of eel passes upriver etc</t>
  </si>
  <si>
    <t>Date at which cost incurred unknown - best estimate 2020.</t>
  </si>
  <si>
    <t xml:space="preserve">Maintaining navigational depth is generally essential to the continued operation of ports. Therefore this cost would need to consider the economic impact and wider GDP impacts or severe reduction in business for one small port. It is estimated trade may be reduced by 75% to 90%.  
</t>
  </si>
  <si>
    <t>This spreadsheet is a summary of the port sector's assumptions about possible additional costs incurred to the ports sector due to the designation of MCZs in all four regional MCZ project areas. It draws on feedback received from eight port interests on draft versions the IA. The eight port interests are Yarmouth Harbour, the Port of London Authority, ABP, Portland Port, South West Regional Ports Association, Truro &amp; Penrhyn Ports, Poole Harbour Commissioners and Harwich Harbour Authority. Cost estimates were provided by ABP (pers. comm, 2012).</t>
  </si>
  <si>
    <t>NG5</t>
  </si>
  <si>
    <t>has a consent to undertake capital dredging works to improve access to Immingham Oil Terminal, including dredging at the mouth of the Humber Estuary on and offshore of Chequer Shoal Bar (ABPmer, 2009. Immingham Oil Terminal Approach Channel Dredging Environmental Statement). This will effectively increase the extent of the maintained navigation channel at the mouth of the Humber Estuary and bring it to within 1.6km of the southern boundary of NG5.</t>
  </si>
  <si>
    <t>NG 8</t>
  </si>
  <si>
    <t>Sensitivity analysis</t>
  </si>
  <si>
    <t>% of types of costs allocated in each option</t>
  </si>
  <si>
    <t>Type of activity for which an additional cost is incurred in future licence applications:</t>
  </si>
  <si>
    <t>No. existing or draft MDPs to update</t>
  </si>
  <si>
    <t>Total (all MCZ project areas)</t>
  </si>
  <si>
    <t>Estimated no. annual licence applications recieved by MMO for port related developments in 2011 for ports in MCZ project areas only. Sourced from https://marinelicensing.marinemanagement.org.uk/mmo/fox [accessed 14.6.2012]</t>
  </si>
  <si>
    <t>No annual licence applications for port related developments to which additional cost in assessment of environmental impact is applied. Based on assumptions that 50% of ports per year will incur this cost (ABP, pers. comm, 2012)</t>
  </si>
  <si>
    <t>Assessed at regional level only. Assumes that 50% of annual licence applications will incur this cost (ABP, pers. comm, 2012). Based on number of licence applications recieved in 2011. Double counting with specific port applications above removed.</t>
  </si>
  <si>
    <t xml:space="preserve">Assessed at regional level only. Assumes that 50% of annual licence applications will incur this cost (ABP, pers. comm, 2012). Based on number of licence applications recieved in 2011. </t>
  </si>
  <si>
    <t>has a consent to undertake capital dredging works to improve access to Immingham Oil Terminal, including dredging at the mouth of the Humber Estuary on and offshore of Chequer Shoal Bar (ABPmer, 2009. Immingham Oil Terminal Approach Channel Dredging Environmental Statement). This will effectively increase the extent of the maintained navigation channel at the mouth of the Humber Estuary and bring it to within 1.6km of the southern boundary of NG8.</t>
  </si>
  <si>
    <t>Total costs (with duplication between rMCZs removed)</t>
  </si>
  <si>
    <t>* This option does not include costs to update MDPs as to do so would be a duplication of cost with additional costs in future licence applications for navigational dredging, disposal at sea and port developments.</t>
  </si>
  <si>
    <t>No. ports within 5km</t>
  </si>
  <si>
    <t>Camel Estuary</t>
  </si>
  <si>
    <t>Maintenance dredging of padstow channel</t>
  </si>
  <si>
    <t>Padstow Harbour Commissioners</t>
  </si>
  <si>
    <t>Low cost</t>
  </si>
  <si>
    <t>South west</t>
  </si>
  <si>
    <t>South east</t>
  </si>
  <si>
    <t>North sea</t>
  </si>
  <si>
    <t>Case Ref  ↑↓</t>
  </si>
  <si>
    <t>Application Type  ↑↓</t>
  </si>
  <si>
    <t>Applicant Name  ↑↓</t>
  </si>
  <si>
    <t>Activity Type(s)  ↑↓</t>
  </si>
  <si>
    <t>MMO Region  ↑↓</t>
  </si>
  <si>
    <t>Status  ↑↓</t>
  </si>
  <si>
    <t>Submission Date  ↑↓</t>
  </si>
  <si>
    <t>Decision Date  ↑↓</t>
  </si>
  <si>
    <t>Licence Issued Date  ↑↓</t>
  </si>
  <si>
    <t>34755/100301</t>
  </si>
  <si>
    <t>Application</t>
  </si>
  <si>
    <t>PROJECT DEVELOPMENT ENGINEER</t>
  </si>
  <si>
    <t>Construction</t>
  </si>
  <si>
    <t>Humber</t>
  </si>
  <si>
    <t>Submitted</t>
  </si>
  <si>
    <t>35019/101214</t>
  </si>
  <si>
    <t>PORT OF BLYTH</t>
  </si>
  <si>
    <t>Northern</t>
  </si>
  <si>
    <t>Completed</t>
  </si>
  <si>
    <t>35052/110117/1</t>
  </si>
  <si>
    <t>Thorhham Marina</t>
  </si>
  <si>
    <t>South Eastern</t>
  </si>
  <si>
    <t>35053/110120</t>
  </si>
  <si>
    <t>RNLI</t>
  </si>
  <si>
    <t>35056/110121/2</t>
  </si>
  <si>
    <t>TRANSPORT FOR LONDON</t>
  </si>
  <si>
    <t>35064/110128</t>
  </si>
  <si>
    <t>Associated British Ports</t>
  </si>
  <si>
    <t>35066/110201/1</t>
  </si>
  <si>
    <t>Cove Head Mooring Association</t>
  </si>
  <si>
    <t>South Western</t>
  </si>
  <si>
    <t>35068/110202</t>
  </si>
  <si>
    <t>PORT SUTTON BRIDGE LTD</t>
  </si>
  <si>
    <t>35082/110215</t>
  </si>
  <si>
    <t>Farehem Sailing and Motor Boat Club</t>
  </si>
  <si>
    <t>35086/110223/1</t>
  </si>
  <si>
    <t>LONDON GATEWAY PORT LTD</t>
  </si>
  <si>
    <t>Eastern</t>
  </si>
  <si>
    <t>35090/110224</t>
  </si>
  <si>
    <t>35095/110301</t>
  </si>
  <si>
    <t>Brighton Marine Palace &amp; Pier</t>
  </si>
  <si>
    <t>35101/110307/2</t>
  </si>
  <si>
    <t>PREMIER MARINAS ( FALMOUTH ) LTD</t>
  </si>
  <si>
    <t>Western</t>
  </si>
  <si>
    <t>35103/110307/3</t>
  </si>
  <si>
    <t>35110/110315</t>
  </si>
  <si>
    <t>ROYAL NATIONAL LIFEBOAT INSTITUTION</t>
  </si>
  <si>
    <t>35113/110317</t>
  </si>
  <si>
    <t>Teignmouth Maritime Services Ltd</t>
  </si>
  <si>
    <t>35115/110318</t>
  </si>
  <si>
    <t>Yealm Yacht Club</t>
  </si>
  <si>
    <t>35119/110322/3</t>
  </si>
  <si>
    <t>35125/110329</t>
  </si>
  <si>
    <t>SUSSEX YACHT CLUB LTD.</t>
  </si>
  <si>
    <t>Submitted (Edit in Progress)</t>
  </si>
  <si>
    <t>35128/110330/1</t>
  </si>
  <si>
    <t>trustees Waldringfield sailing Club</t>
  </si>
  <si>
    <t>MLA/2011/00011</t>
  </si>
  <si>
    <t>BRIGHTON MARINA YACHT CLUB LIMITED</t>
  </si>
  <si>
    <t>MLA/2011/00025/1</t>
  </si>
  <si>
    <t>MARINA DEVELOPMENTS LIMITED</t>
  </si>
  <si>
    <t>MLA/2011/00031/1</t>
  </si>
  <si>
    <t>MLA/2011/00042</t>
  </si>
  <si>
    <t>DOVER HARBOUR BOARD</t>
  </si>
  <si>
    <t>MLA/2011/00048</t>
  </si>
  <si>
    <t>R K MARINE</t>
  </si>
  <si>
    <t>MLA/2011/00054</t>
  </si>
  <si>
    <t>FAST FERRY PARTNERS LIMITED</t>
  </si>
  <si>
    <t>MLA/2011/00063/1</t>
  </si>
  <si>
    <t>FELIXSTOWE DOCK AND RAILWAY COMPANY</t>
  </si>
  <si>
    <t>Variation Requested</t>
  </si>
  <si>
    <t>MLA/2011/00068/3</t>
  </si>
  <si>
    <t>Dredged Material Disposal</t>
  </si>
  <si>
    <t>Dredging</t>
  </si>
  <si>
    <t>MLA/2011/00079/1</t>
  </si>
  <si>
    <t>GRIMSBY FISH DOCK ENTERPRISES LIMITED</t>
  </si>
  <si>
    <t>MLA/2011/00081/1</t>
  </si>
  <si>
    <t>JARROLD (ST. JAMES) LIMITED</t>
  </si>
  <si>
    <t>MLA/2011/00095</t>
  </si>
  <si>
    <t>TYNE CRUISING CLUB</t>
  </si>
  <si>
    <t>MLA/2011/00119</t>
  </si>
  <si>
    <t>DEVONPORT ROYAL DOCKYARD LIMITED</t>
  </si>
  <si>
    <t>MLA/2011/00121</t>
  </si>
  <si>
    <t>CROWN RIVER CRUISES LIMITED</t>
  </si>
  <si>
    <t>MLA/2011/00123/1</t>
  </si>
  <si>
    <t>NUSTAR TERMINALS LIMITED</t>
  </si>
  <si>
    <t>MLA/2011/00127/1</t>
  </si>
  <si>
    <t>MLA/2011/00143</t>
  </si>
  <si>
    <t>YACHT HAVENS LIMITED</t>
  </si>
  <si>
    <t>MLA/2011/00147</t>
  </si>
  <si>
    <t>MLA/2011/00150</t>
  </si>
  <si>
    <t>WARSASH SAILING CLUB</t>
  </si>
  <si>
    <t>MLA/2011/00152/1</t>
  </si>
  <si>
    <t>YARMOUTH HARBOUR COMMISSIONERS (IOW)</t>
  </si>
  <si>
    <t>MLA/2011/00153/1</t>
  </si>
  <si>
    <t>MLA/2011/00154</t>
  </si>
  <si>
    <t>ASSOCIATED BRITISH PORTS.</t>
  </si>
  <si>
    <t>MLA/2011/00156</t>
  </si>
  <si>
    <t>MLA/2011/00158/1</t>
  </si>
  <si>
    <t>OCEAN YACHT COMPANY LIMITED</t>
  </si>
  <si>
    <t>MLA/2011/00183</t>
  </si>
  <si>
    <t>ASSOCIATED BRITISH PORTS, SOUTHAMPTON</t>
  </si>
  <si>
    <t>MLA/2011/00187</t>
  </si>
  <si>
    <t>NEWHAVEN PORT &amp; PROPERTIES LIMITED</t>
  </si>
  <si>
    <t>MLA/2011/00188</t>
  </si>
  <si>
    <t>DUCHY OF CORNWALL</t>
  </si>
  <si>
    <t>MLA/2011/00189</t>
  </si>
  <si>
    <t>gravesend sailing club</t>
  </si>
  <si>
    <t>MLA/2011/00193</t>
  </si>
  <si>
    <t>HARWICH INTERNATIONAL PORT</t>
  </si>
  <si>
    <t>MLA/2011/00203</t>
  </si>
  <si>
    <t>LONDON RIVER PARK LIMITED</t>
  </si>
  <si>
    <t>Withdrawn</t>
  </si>
  <si>
    <t>MLA/2011/00210</t>
  </si>
  <si>
    <t>BRIGHTLINGSEA HARBOUR COMMISSIONERS</t>
  </si>
  <si>
    <t>MLA/2011/00214</t>
  </si>
  <si>
    <t>MLA/2011/00216</t>
  </si>
  <si>
    <t>SUTTON HARBOUR COMPANY</t>
  </si>
  <si>
    <t>MLA/2011/00218</t>
  </si>
  <si>
    <t>NORTH QUAY MANAGEMENT LTD</t>
  </si>
  <si>
    <t>MLA/2011/00219/1</t>
  </si>
  <si>
    <t>MLA/2011/00220</t>
  </si>
  <si>
    <t>SCOTTISH AND SOUTHERN ENERGY PLC</t>
  </si>
  <si>
    <t>MLA/2011/00223</t>
  </si>
  <si>
    <t>MLA/2011/00224</t>
  </si>
  <si>
    <t>PADSTOW HARBOUR COMMISSIONERS</t>
  </si>
  <si>
    <t>MLA/2011/00245</t>
  </si>
  <si>
    <t>DARTHAVEN MARINA LTD</t>
  </si>
  <si>
    <t>MLA/2011/00248</t>
  </si>
  <si>
    <t>FOWEY RIVER DEVELOPMENT CORPORATION LIMITED(THE)</t>
  </si>
  <si>
    <t>MLA/2011/00251</t>
  </si>
  <si>
    <t>THAMES ESTUARY YACHT CLUB</t>
  </si>
  <si>
    <t>MLA/2011/00256</t>
  </si>
  <si>
    <t>DAVIS'S BOATYARD</t>
  </si>
  <si>
    <t>MLA/2011/00260</t>
  </si>
  <si>
    <t>WICORMARINE LIMITED</t>
  </si>
  <si>
    <t>MLA/2011/00264</t>
  </si>
  <si>
    <t>PURFLEET REAL ESTATE</t>
  </si>
  <si>
    <t>MLA/2011/00271</t>
  </si>
  <si>
    <t>TRITON KNOLL OFFSHORE WIND FARM LIMITED</t>
  </si>
  <si>
    <t>MLA/2011/00272</t>
  </si>
  <si>
    <t>BOROUGH OF POOLE COUNCIL</t>
  </si>
  <si>
    <t>MLA/2011/00273</t>
  </si>
  <si>
    <t>ENVIRONMENT AGENCY (SOUTHERN REGION)</t>
  </si>
  <si>
    <t>MLA/2011/00274/1</t>
  </si>
  <si>
    <t>MLA/2011/00275</t>
  </si>
  <si>
    <t>J. MURPHY &amp; SONS LIMITED</t>
  </si>
  <si>
    <t>MLA/2011/00292</t>
  </si>
  <si>
    <t>HAMBLE YACHT SERVICES LTD</t>
  </si>
  <si>
    <t>MLA/2011/00294</t>
  </si>
  <si>
    <t>PREMIER MARINAS (GOSPORT) LIMITED</t>
  </si>
  <si>
    <t>MLA/2011/00298</t>
  </si>
  <si>
    <t>CANARY WHARF MANAGEMENT LIMITED</t>
  </si>
  <si>
    <t>MLA/2011/00305/2</t>
  </si>
  <si>
    <t>SOUTHERN WATER LIMITED</t>
  </si>
  <si>
    <t>MLA/2011/00307</t>
  </si>
  <si>
    <t>BAE SYSTEMS SURFACE SHIPS SUPPORT LIMITED</t>
  </si>
  <si>
    <t>MLA/2011/00311</t>
  </si>
  <si>
    <t>MLA/2011/00312</t>
  </si>
  <si>
    <t>WARKWORTH HARBOUR COMMISSIONERS</t>
  </si>
  <si>
    <t>MLA/2011/00316</t>
  </si>
  <si>
    <t>MLA/2011/00318</t>
  </si>
  <si>
    <t>FALMOUTH DIVERS LIMITED</t>
  </si>
  <si>
    <t>MLA/2011/00326</t>
  </si>
  <si>
    <t>PUTNEY ROWING CLUB</t>
  </si>
  <si>
    <t>MLA/2011/00332</t>
  </si>
  <si>
    <t>ASSOCIATED BRITISH PORTS</t>
  </si>
  <si>
    <t>MLA/2011/00333</t>
  </si>
  <si>
    <t>MLA/2011/00334</t>
  </si>
  <si>
    <t>WADEBRIDGE BOATING CLUB</t>
  </si>
  <si>
    <t>MLA/2011/00342</t>
  </si>
  <si>
    <t>MLA/2011/00346/2</t>
  </si>
  <si>
    <t>MLA/2011/00351</t>
  </si>
  <si>
    <t>PEEL PORTS MEDWAY</t>
  </si>
  <si>
    <t>MLP/2011/00051</t>
  </si>
  <si>
    <t>Pre-Application (Screening Request)</t>
  </si>
  <si>
    <t>THE ROYAL MOTOR YACHT CLUB</t>
  </si>
  <si>
    <t>MLP/2011/00093</t>
  </si>
  <si>
    <t>Pre-Application (Scoping Request)</t>
  </si>
  <si>
    <t>PORT OF SHEERNESS LIMITED</t>
  </si>
  <si>
    <t>MLP/2011/00156</t>
  </si>
  <si>
    <t>KENDALL BROS. (PORTSMOUTH) LIMITED</t>
  </si>
  <si>
    <t>87 in total</t>
  </si>
  <si>
    <t>Criteria:</t>
  </si>
  <si>
    <t>2011 only</t>
  </si>
  <si>
    <t>All obviously non-port stuff deleted e.g. Renewable energy</t>
  </si>
  <si>
    <t>All local authority applications deleted</t>
  </si>
  <si>
    <t>All dredging/disposal applications deleted as already have data from Cefas</t>
  </si>
  <si>
    <t>Total cost for Scenario 2 (high cost)</t>
  </si>
  <si>
    <t>Assumption for IA - Scenario 1</t>
  </si>
  <si>
    <t>Assumption for IA - Scenario 2 (high)</t>
  </si>
  <si>
    <t>potential MDP</t>
  </si>
  <si>
    <t>Existing MDPs (including those in draft) for ports within 5km of a rMCZ:</t>
  </si>
  <si>
    <t>No MDP</t>
  </si>
  <si>
    <t>Potential MDP</t>
  </si>
  <si>
    <t>Existing MDP</t>
  </si>
  <si>
    <t>Broadstairs</t>
  </si>
  <si>
    <t>Medway</t>
  </si>
  <si>
    <t>Medina</t>
  </si>
  <si>
    <t>Thames</t>
  </si>
  <si>
    <t>Devonport</t>
  </si>
  <si>
    <t>Fal and Helford</t>
  </si>
  <si>
    <t>Harwich</t>
  </si>
  <si>
    <t>Keyhaven</t>
  </si>
  <si>
    <t>Portsmouth</t>
  </si>
  <si>
    <t>Silloth</t>
  </si>
  <si>
    <t>Ventnor</t>
  </si>
  <si>
    <t>Yarmouth (IOW)</t>
  </si>
  <si>
    <t>Assumption for IA - Scenario 2 (low)</t>
  </si>
  <si>
    <t>% future licence applications for port-related activities in MDPs</t>
  </si>
  <si>
    <t>% future licence applications for port-related activities not in MDPs</t>
  </si>
  <si>
    <t>Total number of ports within 5km of a rMCZ</t>
  </si>
  <si>
    <t>No. ports covered by existing MDPs within 5km of a rMCZ</t>
  </si>
  <si>
    <t>BS: Harwich/Felixstowe (draft): Harwich Haven, Harwich International, Harwich Navyard, Felixstowe</t>
  </si>
  <si>
    <t>BS: Thames (inc Thames Gateway, Tilbury, Port of London, Thamesport)</t>
  </si>
  <si>
    <t>BS: Medway (draft, inc Sheerness &amp; Chatham)</t>
  </si>
  <si>
    <t>BS: Portsmouth Harbour – MoD (draft)</t>
  </si>
  <si>
    <t>BS: Medina Estuary (inc Cowes, Newport IOW)</t>
  </si>
  <si>
    <t>BS: Lymington (draft)</t>
  </si>
  <si>
    <t>BS: Yarmouth IOW (draft)</t>
  </si>
  <si>
    <t>FS: Poole Harbour (draft)</t>
  </si>
  <si>
    <t>FS: Devonport – MoD (draft)</t>
  </si>
  <si>
    <t>FS: Fal &amp; Helford (inc Falmouth, Truro, Penryn, St Mawes)</t>
  </si>
  <si>
    <t>IS: Morecambe Bay (draft, inc Fleetwood, Heysham, Barrow)</t>
  </si>
  <si>
    <t>IS: Workington (draft)</t>
  </si>
  <si>
    <t>No. existing or draft/potential MDPs to update</t>
  </si>
  <si>
    <t>FS: bideford/barnstable/appledore</t>
  </si>
  <si>
    <t>FS: dartmouth/kingswear</t>
  </si>
  <si>
    <t>FS: looe/whitsands bay (small scale dredging)</t>
  </si>
  <si>
    <t>FS: padstow/camel estuary</t>
  </si>
  <si>
    <t>FS: penzance/newlyn/st michaels mouth bay</t>
  </si>
  <si>
    <t>FS: portland/weymouth</t>
  </si>
  <si>
    <t>BS: ramsgate</t>
  </si>
  <si>
    <t>BS: Ramsgate (minimal dredge, plans to expand in future)</t>
  </si>
  <si>
    <t>FS: torbay/paignton/brixham</t>
  </si>
  <si>
    <t>NS: tyne</t>
  </si>
  <si>
    <t>NS: whitby</t>
  </si>
  <si>
    <t>IS: Silloth/Solway</t>
  </si>
  <si>
    <t>NS: scarborough</t>
  </si>
  <si>
    <t>FS: salcombe</t>
  </si>
  <si>
    <t>BS: maldon/ (Blackwater Estuary)</t>
  </si>
  <si>
    <t>BS: Ryde</t>
  </si>
  <si>
    <t>NS: blyth</t>
  </si>
  <si>
    <t>NS: bridlington</t>
  </si>
  <si>
    <t>BS: bembridge</t>
  </si>
  <si>
    <t>BS: burham-on-croach/rochford (Crouch &amp; Roach estuary)</t>
  </si>
  <si>
    <t>BS: dover (only MCZ)</t>
  </si>
  <si>
    <t>BS: fingringhoe/brighlingsea/wivenhoe (Colne Estuary)</t>
  </si>
  <si>
    <t>BS: folkstone</t>
  </si>
  <si>
    <t>% future licence applications for port-related activities in MDPs (rounded to nearest five % for ease of analysis)</t>
  </si>
  <si>
    <t>% future licence applications for port-related activities not in MDPs (rounded to nearest five % for ease of analysis)</t>
  </si>
  <si>
    <t xml:space="preserve">* This option assumes that 36 MDPs are in place in England that comprise of ports that are within 5km of rMCZs. </t>
  </si>
  <si>
    <t>* This option assumes that 12 MDPs are in place in England that comprise of ports that are within 5km of rMCZs. This reflects the current baseline and is therefore the high cost estimate.</t>
  </si>
  <si>
    <t>Additional cost estimate per licence application used in all three options (this is the same as the cost used in Scenario 1) Please specify source</t>
  </si>
  <si>
    <t>* This is provided for Scenario 2 workings only. The rMCZ-specific costs do not include the potential cost savings of assessing impact of port related activities upon MCZ features in MDPs, compared to in individual licence applications. It is not possible to break down costs under Options A and B in Scenario 2 to the site level. Please note the assumption regarding future port developments at the site-level in Scenario 2, is different to the assumption made at the regional and national level in Scenario 2. The method paper at Annex H provides an explanation.</t>
  </si>
  <si>
    <t>MDP to which port applies if applicable</t>
  </si>
  <si>
    <t>Annual costs</t>
  </si>
  <si>
    <t>One-off costs</t>
  </si>
  <si>
    <t>Site-specific analysis - no. ports within 5km of each rMCZ</t>
  </si>
  <si>
    <t>BS: newhaven</t>
  </si>
  <si>
    <t>Disposal site within 1km of a rMCZ (or within a rMCZ)</t>
  </si>
  <si>
    <t>rMCZ</t>
  </si>
  <si>
    <t>rMCZ 17 Ribble Estuary</t>
  </si>
  <si>
    <t>rMCZ 16 Wyre-Lune Estuary</t>
  </si>
  <si>
    <t>The IA assumes that additional mitigation is needed such that disposal of material at Padstow Bay disposal site can occur only in the western half of the site, outside the rMCZ. This additional management is included in both the lowest and highest cost calculations for Scenario 1. The total additional cost is estimated to be £1,000. This is based on:
 - an average of 35 trips to the disposal site per year and
 - an expected additional cost of using the western half of the disposal site per trip of £40. 
(Source: Padstow Harbour Commissioners).</t>
  </si>
  <si>
    <t>Underlying Assumptions and Calculations for rMCZ Beachy Head East in the Balanced Seas project area.</t>
  </si>
  <si>
    <t>The IA assumes that the additional cost of assessing impacts on features protected by MCZs in future licence applications port related activities is £6750 per licence application. This is based on:
 - additional consultancy fees of £4500 per licence (based on the average of estimates by two UK environmental consultancy firms). 
 - additional internal management costs associated with correspondence, meetings, managing consultants, review of draft reports etc. estimated at 50% of the consultancy cost (i.e. £2250). 
It is assumed these cost aplies to all rMCZs within 3km.                                                                                                                                                      Source: ABP Mer, 2012, pers. comm. on behalf of ports sector</t>
  </si>
  <si>
    <t>Navigational dredge areas within 1km of a rMCZ (or within a rMCZ)</t>
  </si>
  <si>
    <t>No. navigational dredge sites within 1km of each rMCZ</t>
  </si>
  <si>
    <t>rMCZ 2 Stour and Orwell</t>
  </si>
  <si>
    <t>various dredged channels within the rMCZ</t>
  </si>
  <si>
    <t xml:space="preserve">rMCZ 20 The Needles </t>
  </si>
  <si>
    <t xml:space="preserve">rMCZ 2 Reference area 22 North Mistley </t>
  </si>
  <si>
    <t xml:space="preserve">rMCZ 2 Reference area 24 Harwich Haven </t>
  </si>
  <si>
    <t>rMCZ 3 Blackwater</t>
  </si>
  <si>
    <t>numerous dredged channels within the rMCZ inc Bradwell Marina</t>
  </si>
  <si>
    <t>rMCZ 5 Thames Estuary</t>
  </si>
  <si>
    <t>rMCZ 5 reference area 3 Holehaven Creek</t>
  </si>
  <si>
    <t>rMCZ 6  Medway</t>
  </si>
  <si>
    <t>Maintenance and navigation channels  associated with various ports and harbours within the rMCZ</t>
  </si>
  <si>
    <t>rMCZ 10 Swale</t>
  </si>
  <si>
    <t>rMCZ 7 Thanet</t>
  </si>
  <si>
    <t>rMCZ 11.1  Dover to Deal</t>
  </si>
  <si>
    <t>rMCZ 11.2  Dover to Folkestone</t>
  </si>
  <si>
    <t>rMCZ 13.1 Beachy Head East</t>
  </si>
  <si>
    <t>rMCZ 13.2 Beachy Head West</t>
  </si>
  <si>
    <t>likely to be some navigational dredging either within the rMCZ or within 1 km</t>
  </si>
  <si>
    <t>rMCZ 19 Norris to Ryde</t>
  </si>
  <si>
    <t xml:space="preserve">Navigational dredging (the main Solent shipping channel lies just to the north of the rMCZ; northern boundary was moved so the channel did not fall within the rMCZ); dredging of the ferry channel into Ryde </t>
  </si>
  <si>
    <t xml:space="preserve">rMCZ 22 Bembridge </t>
  </si>
  <si>
    <t xml:space="preserve">rMCZ 23 Yarmouth to Cowes </t>
  </si>
  <si>
    <t xml:space="preserve">rMCZ 24.1 Fareham Creek </t>
  </si>
  <si>
    <t>rMCZ 13 Sefton Coast</t>
  </si>
  <si>
    <t>Total  one-off costs (sum of per rMCZ costs)</t>
  </si>
  <si>
    <t>Disposal site within 5km of a rMCZ (or within a rMCZ)</t>
  </si>
  <si>
    <t>rMCZ (s)</t>
  </si>
  <si>
    <t>Additional mitigation costs for disposal sites - rMCZ Padstow Bay in the Finding Sanctuary project area.</t>
  </si>
  <si>
    <t>The IA assumes that additional mitigation is needed such that disposal of material at Padstow Bay disposal site can occur only in the western half of the site, outside the rMCZ. The total additional cost is estimated to be £1,000. This is based on:
 - an average of 35 trips to the disposal site per annum and
 - an expected additional cost of using the western half of the disposal site per trip of £40. 
(Source: Padstow Harbour Commissioners.)</t>
  </si>
  <si>
    <t>Additional mitigation costs for disposal sites - rMCZ Beach Head East in the Balanced seas project area.</t>
  </si>
  <si>
    <t>rMCZ (s) within 5km of navigational dredge area</t>
  </si>
  <si>
    <t>Navigational dredge areas within 5km of a rMCZ (or within a rMCZ)</t>
  </si>
  <si>
    <t>Likely to be some navigational dredging either within the rMCZ or within 1 km</t>
  </si>
  <si>
    <t>rMCZ Reference Area W</t>
  </si>
  <si>
    <t>rMCZ Reference Area Y</t>
  </si>
  <si>
    <t>The Fal reference area rMCZ in the Finding Sanctuary project area</t>
  </si>
  <si>
    <t>rMCZ 16 Wyre-Lune</t>
  </si>
  <si>
    <t>rMCZ 10</t>
  </si>
  <si>
    <t>rMCZ 11</t>
  </si>
  <si>
    <t>rMCZ 8</t>
  </si>
  <si>
    <t>rMCZ 14</t>
  </si>
  <si>
    <t>rMCZ 17 Ribble</t>
  </si>
  <si>
    <t>Mounts Bay rMCZ</t>
  </si>
  <si>
    <t>Total annual costs (sum of per rMCZ costs)</t>
  </si>
  <si>
    <t>Total costs (sum of per rMCZ costs)</t>
  </si>
  <si>
    <t>Present value of total cost (sum of per rMCZ costs)</t>
  </si>
  <si>
    <t xml:space="preserve">Present value of total cost (with duplication between rMCZs removed) </t>
  </si>
  <si>
    <t xml:space="preserve">rMCZ 24.2 Fareham Creek </t>
  </si>
  <si>
    <t xml:space="preserve">Total one-off costs (sum of per rMCZ costs) </t>
  </si>
  <si>
    <t>Present value of total cost (with duplication between rMCZs removed)</t>
  </si>
  <si>
    <t>Total one-off costs (with duplication between rMCZs removed)</t>
  </si>
  <si>
    <t>Total annual costs (with duplication between rMCZs removed)</t>
  </si>
  <si>
    <t>rMCZ 30 Kentish Knock East</t>
  </si>
  <si>
    <t>rMCZ 17 Offshore Overfalls</t>
  </si>
  <si>
    <t>The IA assumes that the additional cost of assessing impacts on features protected by MCZs in future licence applications port related activities is £6750 per licence application. This is based on:
 - additional consultancy fees of £4500 per licence (based on the average of estimates by two UK environmental consultancy firms). 
 - additional internal management costs associated with correspondence, meetings, managing consultants, review of draft reports etc. estimated at 50% of the consultancy cost (i.e. £2250). It is assumed these cost applies to all rMCZs within 3km.                                                                                                                                                  Source: ABP Mer, 2012, pers. comm. on behalf of ports sector</t>
  </si>
  <si>
    <t>Irish Sea Conservation Zones</t>
  </si>
  <si>
    <t xml:space="preserve">rMCZ Padstow Bay in Finding Sanctuary </t>
  </si>
  <si>
    <t>Underlying Assumptions and Calculations for rMCZ Padstow Bay in Finding Sanctuary.</t>
  </si>
  <si>
    <t>rMCZ Beach Head East in Balanced Seas.</t>
  </si>
  <si>
    <r>
      <rPr>
        <b/>
        <sz val="10"/>
        <color theme="1"/>
        <rFont val="Arial"/>
        <family val="2"/>
      </rPr>
      <t>Finding Sanctuary</t>
    </r>
    <r>
      <rPr>
        <i/>
        <sz val="10"/>
        <color theme="1"/>
        <rFont val="Arial"/>
        <family val="2"/>
      </rPr>
      <t xml:space="preserve"> - (data has been provided by the Crown Estate)</t>
    </r>
  </si>
  <si>
    <r>
      <rPr>
        <b/>
        <sz val="10"/>
        <color theme="1"/>
        <rFont val="Arial"/>
        <family val="2"/>
      </rPr>
      <t xml:space="preserve">Balanced Seas - </t>
    </r>
    <r>
      <rPr>
        <i/>
        <sz val="10"/>
        <color theme="1"/>
        <rFont val="Arial"/>
        <family val="2"/>
      </rPr>
      <t>(* please note that the no. of dredge licenses issued in this site is not clear. Data for this region has been provided by Crown Estate (GIS layer) and the Regional Project Team (anecdotal))</t>
    </r>
  </si>
  <si>
    <r>
      <rPr>
        <b/>
        <sz val="10"/>
        <color theme="1"/>
        <rFont val="Arial"/>
        <family val="2"/>
      </rPr>
      <t xml:space="preserve">Net Gain </t>
    </r>
    <r>
      <rPr>
        <i/>
        <sz val="10"/>
        <color theme="1"/>
        <rFont val="Arial"/>
        <family val="2"/>
      </rPr>
      <t>- (data has been provided by Crown Estate and Anatec)</t>
    </r>
  </si>
  <si>
    <r>
      <rPr>
        <b/>
        <sz val="10"/>
        <color theme="1"/>
        <rFont val="Arial"/>
        <family val="2"/>
      </rPr>
      <t xml:space="preserve">Irish Sea Conservation Zones </t>
    </r>
    <r>
      <rPr>
        <i/>
        <sz val="10"/>
        <color theme="1"/>
        <rFont val="Arial"/>
        <family val="2"/>
      </rPr>
      <t>- (data has been provided by Crown Estate)</t>
    </r>
  </si>
  <si>
    <t xml:space="preserve">Additional assessment cost per future licence application in Finding Sanctuary. </t>
  </si>
  <si>
    <t>Number of year in analysis</t>
  </si>
  <si>
    <t xml:space="preserve">Finding Sanctuary </t>
  </si>
  <si>
    <t>Regional Project Area</t>
  </si>
  <si>
    <t>Annual average</t>
  </si>
  <si>
    <t xml:space="preserve">Irish Sea Conservation Zones </t>
  </si>
  <si>
    <t>All Regional Project Areas</t>
  </si>
  <si>
    <t>Scenario 1 - Costs by Regional Project Area</t>
  </si>
  <si>
    <t>Additional one-off costs in future licence applications:</t>
  </si>
  <si>
    <t>Additional annual costs in future licence applications:</t>
  </si>
  <si>
    <t>Additional annual costs for mitigation</t>
  </si>
  <si>
    <t>Disposal at sea</t>
  </si>
  <si>
    <t>Navigational dredging</t>
  </si>
  <si>
    <t xml:space="preserve">Disposal at sea </t>
  </si>
  <si>
    <t>Additional one-off cost in future licence applications:</t>
  </si>
  <si>
    <t>Additional annual costs for mitigation:</t>
  </si>
  <si>
    <t>Port development</t>
  </si>
  <si>
    <t>Additional one-off costs in future licence applications</t>
  </si>
  <si>
    <t xml:space="preserve">Present value of total costs </t>
  </si>
  <si>
    <t>rMCZ 23 Yarmouth to Cowes</t>
  </si>
  <si>
    <t>rMCZ 24.2 Fareham Creek</t>
  </si>
  <si>
    <t>rMCZ 11.2 Dover to Folkestone</t>
  </si>
  <si>
    <t>rMCZ 11.1 Dover to Deal</t>
  </si>
  <si>
    <t>rMCZ 7 Thanet Coast</t>
  </si>
  <si>
    <t>rMCZ 10 Swale Estuary</t>
  </si>
  <si>
    <t>rMCZ 6 Medway Estuary</t>
  </si>
  <si>
    <t>rMCZ Reference Area 3 Holehaven Creek</t>
  </si>
  <si>
    <t>rMCZ 3 Blackwater, Crouch, Roach &amp; Colne Estuaries</t>
  </si>
  <si>
    <t>rMCZ Reference Area 22 North Mistley</t>
  </si>
  <si>
    <t>rMCZ Reference Area 24 Harwich Haven</t>
  </si>
  <si>
    <t>rMCZ 20 The Needles</t>
  </si>
  <si>
    <t>rMCZ 2 Stour &amp; Orwell Estuaries</t>
  </si>
  <si>
    <t>rMCZ 3 Blackwater, Crouch, Roach and Colne Estuaries</t>
  </si>
  <si>
    <t xml:space="preserve">rMCZ 17 Offshore Overfalls </t>
  </si>
  <si>
    <t xml:space="preserve">rMCZ 17 Ribble Estuary </t>
  </si>
  <si>
    <t xml:space="preserve">rMCZ 16 Wyre-Lune Estuary </t>
  </si>
  <si>
    <t>rMCZ Reference Area 9 Flamborough Head No Take Zone</t>
  </si>
  <si>
    <t>rMCZ NG 13 Coquet-St Mary's</t>
  </si>
  <si>
    <t>rMCZ NG 11 Boulby</t>
  </si>
  <si>
    <t xml:space="preserve">rMCZ Axe Estuary </t>
  </si>
  <si>
    <t xml:space="preserve">rMCZ Bideford to Foreland Point </t>
  </si>
  <si>
    <t>rMCZ Padstow Bay &amp; Surrounds</t>
  </si>
  <si>
    <t xml:space="preserve">rMCZ Torbay </t>
  </si>
  <si>
    <t xml:space="preserve">rMCZ Reference Area The Fal </t>
  </si>
  <si>
    <t xml:space="preserve">rMCZ Upper Fowey and Pont Pill </t>
  </si>
  <si>
    <t xml:space="preserve">rMCZ Whitsand and Looe Bay </t>
  </si>
  <si>
    <t xml:space="preserve">rMCZ Mounts Bay </t>
  </si>
  <si>
    <t xml:space="preserve">rMCZ Studland Bay </t>
  </si>
  <si>
    <t>rMCZ Padstow Bay and Surrounds</t>
  </si>
  <si>
    <t xml:space="preserve">rMCZ Padstow Bay and Surrounds </t>
  </si>
  <si>
    <t>rMCZ Bideford to Foreland Point</t>
  </si>
  <si>
    <r>
      <t>GVA as a percentage of revenue</t>
    </r>
    <r>
      <rPr>
        <sz val="10"/>
        <color theme="1"/>
        <rFont val="Arial"/>
        <family val="2"/>
      </rPr>
      <t xml:space="preserve"> </t>
    </r>
  </si>
  <si>
    <r>
      <t xml:space="preserve">(£m) typical annual revenue to Port of Falmouth </t>
    </r>
    <r>
      <rPr>
        <i/>
        <sz val="10"/>
        <color theme="1"/>
        <rFont val="Arial"/>
        <family val="2"/>
      </rPr>
      <t>(source: Falmouth Harbour Commissioners)</t>
    </r>
  </si>
  <si>
    <r>
      <t xml:space="preserve">Assumption: expected proportion of revenue lost (25% will be retained as some vessels may wait for bad weather to clear) </t>
    </r>
    <r>
      <rPr>
        <i/>
        <sz val="10"/>
        <color theme="1"/>
        <rFont val="Arial"/>
        <family val="2"/>
      </rPr>
      <t>(source: Falmouth Harbour Commissioners)</t>
    </r>
  </si>
  <si>
    <r>
      <t xml:space="preserve">(£m) revenue over 5 years </t>
    </r>
    <r>
      <rPr>
        <i/>
        <sz val="10"/>
        <color theme="1"/>
        <rFont val="Arial"/>
        <family val="2"/>
      </rPr>
      <t>(Source: Falmouth Harbour Commissioners)</t>
    </r>
  </si>
  <si>
    <r>
      <t>Assumption: loss of RFA revenue - RFA contract not renewed (</t>
    </r>
    <r>
      <rPr>
        <i/>
        <sz val="10"/>
        <color theme="1"/>
        <rFont val="Arial"/>
        <family val="2"/>
      </rPr>
      <t>source:Falmouth Harbour Commissioners)</t>
    </r>
  </si>
  <si>
    <r>
      <t xml:space="preserve">Assumption: 25% of the bunkering activity lost from Falmouth is lost from the UK. The remaining 75% is displaced to alternative UK ports </t>
    </r>
    <r>
      <rPr>
        <i/>
        <sz val="10"/>
        <color theme="1"/>
        <rFont val="Arial"/>
        <family val="2"/>
      </rPr>
      <t>(source: Finding Sanctuary)</t>
    </r>
  </si>
  <si>
    <r>
      <t xml:space="preserve">Assumption: 100% of RFA contract activity displaced to a substitute UK port </t>
    </r>
    <r>
      <rPr>
        <i/>
        <sz val="10"/>
        <color theme="1"/>
        <rFont val="Arial"/>
        <family val="2"/>
      </rPr>
      <t>(source: Finding Sanctuary)</t>
    </r>
  </si>
  <si>
    <r>
      <rPr>
        <b/>
        <sz val="10"/>
        <color theme="1"/>
        <rFont val="Arial"/>
        <family val="2"/>
      </rPr>
      <t xml:space="preserve">Finding Sanctuary </t>
    </r>
    <r>
      <rPr>
        <i/>
        <sz val="10"/>
        <color theme="1"/>
        <rFont val="Arial"/>
        <family val="2"/>
      </rPr>
      <t>(26 disposal sites)</t>
    </r>
  </si>
  <si>
    <r>
      <rPr>
        <b/>
        <sz val="10"/>
        <color theme="1"/>
        <rFont val="Arial"/>
        <family val="2"/>
      </rPr>
      <t xml:space="preserve">Balanced Seas </t>
    </r>
    <r>
      <rPr>
        <i/>
        <sz val="10"/>
        <color theme="1"/>
        <rFont val="Arial"/>
        <family val="2"/>
      </rPr>
      <t>(74 disposal sites)</t>
    </r>
  </si>
  <si>
    <r>
      <rPr>
        <b/>
        <sz val="10"/>
        <color theme="1"/>
        <rFont val="Arial"/>
        <family val="2"/>
      </rPr>
      <t>Net Gain</t>
    </r>
    <r>
      <rPr>
        <i/>
        <sz val="10"/>
        <color theme="1"/>
        <rFont val="Arial"/>
        <family val="2"/>
      </rPr>
      <t xml:space="preserve"> (28 disposal sites)</t>
    </r>
  </si>
  <si>
    <r>
      <rPr>
        <b/>
        <sz val="10"/>
        <color theme="1"/>
        <rFont val="Arial"/>
        <family val="2"/>
      </rPr>
      <t xml:space="preserve">Irish Sea Conservation Zones </t>
    </r>
    <r>
      <rPr>
        <i/>
        <sz val="10"/>
        <color theme="1"/>
        <rFont val="Arial"/>
        <family val="2"/>
      </rPr>
      <t>(20 diposal sites)</t>
    </r>
  </si>
  <si>
    <t>Additional cost incurred when it is assumed that no MDPs are in place. Provided as the basis from which Options A and B are calculated.</t>
  </si>
  <si>
    <t xml:space="preserve">Net Gain </t>
  </si>
  <si>
    <t>rMCZ Reference Area 1 Colne Point</t>
  </si>
  <si>
    <t>rMCZ Reference Area 4 Westgate Promontory</t>
  </si>
  <si>
    <t>rMCZ Reference Area 5 Turner Contemporary</t>
  </si>
  <si>
    <t>rMCZ Reference Area 7 South Foreland Lighthouse</t>
  </si>
  <si>
    <t>rMCZ Reference Area 21 Culver Spit</t>
  </si>
  <si>
    <t>rMCZ Reference Area 15 Tyne Ledges</t>
  </si>
  <si>
    <t>rMCZ Reference Area 16 Wootton Old Mill pond</t>
  </si>
  <si>
    <t>rMCZ Reference Area 17 King’s Quay</t>
  </si>
  <si>
    <t xml:space="preserve">rMCZ Reference Area Lundy </t>
  </si>
  <si>
    <t xml:space="preserve">rMCZ Reference Area Lyme Bay </t>
  </si>
  <si>
    <t xml:space="preserve">rMCZ Reference Area Mouth of the Yealm </t>
  </si>
  <si>
    <t>rMCZ 10 Allonby Bay</t>
  </si>
  <si>
    <t>rMCZ 11 Cumbrian Coast</t>
  </si>
  <si>
    <t>rMCZ 14 Hilbre Island</t>
  </si>
  <si>
    <t>rMCZ 15 Solway Estuary</t>
  </si>
  <si>
    <t xml:space="preserve">rMCZ 6 South Rigg </t>
  </si>
  <si>
    <t>rMCZ 8 Fylde Offshore</t>
  </si>
  <si>
    <t>rMCZ Reference Area H Allonby Bay</t>
  </si>
  <si>
    <t>rMCZ Reference Area J Cumbrian Coast</t>
  </si>
  <si>
    <t>rMCZ Reference Area K Tarn Point</t>
  </si>
  <si>
    <t>rMCZ Reference Area T Cunning Point</t>
  </si>
  <si>
    <t>rMCZ Reference Area W Barrow South</t>
  </si>
  <si>
    <t xml:space="preserve">rMCZ Reference Area Y Barrow North </t>
  </si>
  <si>
    <t>rMCZ Reference Area 2a&amp;2b Seahorse Lagoon and Arnold's Marsh</t>
  </si>
  <si>
    <t>rMCZ Reference Area 3 Glaven Reedbed</t>
  </si>
  <si>
    <t>rMCZ Reference Area 4 Blakeney Marsh</t>
  </si>
  <si>
    <t>rMCZ Reference Area 5 Blakeney Seagrass</t>
  </si>
  <si>
    <t>rMCZ Reference Area 6 Dogs Head Sandbanks</t>
  </si>
  <si>
    <t>rMCZ Reference Area 7 Seahenge Peat and Cley</t>
  </si>
  <si>
    <t>rMCZ Reference Area 11 Berwick Coast</t>
  </si>
  <si>
    <t>rMCZ Reference Area 9 Belle Tout to Beachy Head Lighthouse</t>
  </si>
  <si>
    <t>rMCZ 22 Bembridge</t>
  </si>
  <si>
    <t>Total costs for Scenario 2 (low cost)</t>
  </si>
  <si>
    <t xml:space="preserve">Present value of total costs (with duplication between rMCZs removed) </t>
  </si>
  <si>
    <t>Total costs for Scenario 2 (high cost)</t>
  </si>
  <si>
    <t>OPTION A* - High cost</t>
  </si>
  <si>
    <t>OPTION B* - Low cost</t>
  </si>
  <si>
    <t>Present value of total costs (with duplication between rMCZs removed)</t>
  </si>
  <si>
    <t>Present value of total costs (sum of per rMCZ costs)</t>
  </si>
  <si>
    <t xml:space="preserve">Total costs </t>
  </si>
  <si>
    <t>rMCZ 6 South Rigg</t>
  </si>
  <si>
    <t>rMCZ 16 Wyre-Lunn Estuary</t>
  </si>
  <si>
    <t>Port development  - additional cost in future licence applications:</t>
  </si>
  <si>
    <t>Disposal at sea - additional cost in future licence applications:</t>
  </si>
  <si>
    <t>Disposal at sea - additional mitigation:</t>
  </si>
  <si>
    <t>Anchorages and mooring buoys - additional mitigation:</t>
  </si>
  <si>
    <t>rMCZ NG 08 Holderness Inshore</t>
  </si>
  <si>
    <t>rMCZ NG 10 Castle Ground</t>
  </si>
  <si>
    <t>rMCZ NG 13 Coquet - St Mary's</t>
  </si>
  <si>
    <t>rMCZ NG 5 Lincs Belt</t>
  </si>
  <si>
    <t>rMCZ NG 8 Holderness Inshore</t>
  </si>
  <si>
    <t>rMCZ Offshore Overfalls</t>
  </si>
  <si>
    <t>rMCZ 2 Stour and Orwell Estuaries</t>
  </si>
  <si>
    <t>rMCZ 6  Medway Estuary</t>
  </si>
  <si>
    <t xml:space="preserve">rMCZ 10 Swale Estuary </t>
  </si>
  <si>
    <t>Navigational dredging - additional cost in future licence applications:</t>
  </si>
  <si>
    <t>Navigational dredging - additional mitigation cost:</t>
  </si>
  <si>
    <t>Port development - additional cost in future licence applications:</t>
  </si>
  <si>
    <t>Anchorages and mooring buoys - additional mitigation cost:</t>
  </si>
  <si>
    <t>Disposal at sea - additional mitigation cost:</t>
  </si>
  <si>
    <t>rMCZ Torbay</t>
  </si>
  <si>
    <t>rMCZ Chesil Beach and Stennis Ledges</t>
  </si>
  <si>
    <t>rMCZ Dart Estuary</t>
  </si>
  <si>
    <t>rMCZ East of Celtic Deep</t>
  </si>
  <si>
    <t>rMCZ Hartland Point to Tintagel</t>
  </si>
  <si>
    <t>rMCZ Morte Platform</t>
  </si>
  <si>
    <t>rMCZ Poole Rocks</t>
  </si>
  <si>
    <t>rMCZ Skerries Bank and surrounds</t>
  </si>
  <si>
    <t>rMCZ South of Portland</t>
  </si>
  <si>
    <t>rMCZ Studland Bay</t>
  </si>
  <si>
    <t>rMCZ Upper Fowey and Pont Pill</t>
  </si>
  <si>
    <t>rMCZ Padstow Bay</t>
  </si>
  <si>
    <t xml:space="preserve">rMCZ Reference area The Fal </t>
  </si>
  <si>
    <t xml:space="preserve">rMCZ Poole Rocks </t>
  </si>
  <si>
    <t xml:space="preserve">rMCZ Camel Estuary </t>
  </si>
  <si>
    <t>rMCZ NG 1c Alde Ore Estuary</t>
  </si>
  <si>
    <t xml:space="preserve">rMCZ Reference Area H Allonby Bay </t>
  </si>
  <si>
    <t xml:space="preserve">rMCZ Isles of Scilly Sites </t>
  </si>
  <si>
    <t xml:space="preserve">rMCZ Lands End </t>
  </si>
  <si>
    <t xml:space="preserve">rMCZ Chesil Beach and Stennis Ledges </t>
  </si>
  <si>
    <t xml:space="preserve">rMCZ Newquay and The Gannel </t>
  </si>
  <si>
    <t>rMCZ Whitsand and Looe Bay</t>
  </si>
  <si>
    <t xml:space="preserve">rMCZ Devon Avon </t>
  </si>
  <si>
    <t xml:space="preserve">rMCZ The Manacles </t>
  </si>
  <si>
    <t xml:space="preserve">rMCZ Tamar Estuary Sites </t>
  </si>
  <si>
    <t xml:space="preserve">rMCZ Dart Estuary </t>
  </si>
  <si>
    <t xml:space="preserve">rMCZ Skerries Bank and Surrounds </t>
  </si>
  <si>
    <t xml:space="preserve">rMCZ Taw-Torridge Estuary </t>
  </si>
  <si>
    <t xml:space="preserve">rMCZ Axmouth </t>
  </si>
  <si>
    <t>Best Estimate of Cost - Regional Project Area analysis</t>
  </si>
  <si>
    <r>
      <t xml:space="preserve">1 - Additional costs associated with </t>
    </r>
    <r>
      <rPr>
        <b/>
        <u/>
        <sz val="10"/>
        <color theme="1"/>
        <rFont val="Arial"/>
        <family val="2"/>
      </rPr>
      <t>existing activities</t>
    </r>
    <r>
      <rPr>
        <sz val="10"/>
        <color theme="1"/>
        <rFont val="Arial"/>
        <family val="2"/>
      </rPr>
      <t xml:space="preserve"> (due to designation of MCZ)</t>
    </r>
  </si>
  <si>
    <r>
      <t xml:space="preserve">2 - Additional costs associated with </t>
    </r>
    <r>
      <rPr>
        <b/>
        <u/>
        <sz val="10"/>
        <color theme="1"/>
        <rFont val="Arial"/>
        <family val="2"/>
      </rPr>
      <t>new developments/activities</t>
    </r>
    <r>
      <rPr>
        <sz val="10"/>
        <color theme="1"/>
        <rFont val="Arial"/>
        <family val="2"/>
      </rPr>
      <t xml:space="preserve"> (due to designation of MCZ)</t>
    </r>
  </si>
  <si>
    <r>
      <t>3 - Other costs</t>
    </r>
    <r>
      <rPr>
        <sz val="10"/>
        <color theme="1"/>
        <rFont val="Arial"/>
        <family val="2"/>
      </rPr>
      <t xml:space="preserve"> (solely due to designation of MCZ)</t>
    </r>
  </si>
  <si>
    <r>
      <t>Cost of extra vessel travelling distance and mobilisation cost to nearest alternative.</t>
    </r>
    <r>
      <rPr>
        <i/>
        <sz val="10"/>
        <color theme="1"/>
        <rFont val="Arial"/>
        <family val="2"/>
      </rPr>
      <t xml:space="preserve">
</t>
    </r>
  </si>
  <si>
    <r>
      <t>This could result in legal and mitigation costs (possibly of around £3.5 million), extra vessel travelling time, reduced sailings and reduced port business.</t>
    </r>
    <r>
      <rPr>
        <i/>
        <sz val="10"/>
        <color theme="1"/>
        <rFont val="Arial"/>
        <family val="2"/>
      </rPr>
      <t xml:space="preserve">
</t>
    </r>
  </si>
  <si>
    <t xml:space="preserve">Balanced Seas </t>
  </si>
  <si>
    <t xml:space="preserve">Apply to each port (i.e. one MDP per port) that has port activities within 5km of a rMCZ . </t>
  </si>
  <si>
    <t>20% of rMCZ  within 5km of disposal sites and maintained navigation channels</t>
  </si>
  <si>
    <t>10% of rMCZ  within 5km of disposal sites and maintained navigation channels</t>
  </si>
  <si>
    <t>50% of rMCZ   supporting highly mobile species within 5km of disposal sites and maintained navigation channels</t>
  </si>
  <si>
    <t>5% of rMCZ  within 5km of disposal sites and maintained navigation channels</t>
  </si>
  <si>
    <t xml:space="preserve">Apply to 50% of annual estimated no of port developments where associated disposal sites and maintained navigation channels are within 5km of rMCZ  </t>
  </si>
  <si>
    <t xml:space="preserve">Apply to 20% of annual no of port developments where associated disposal sites and maintained navigation channels are within 5km of rMCZ  
</t>
  </si>
  <si>
    <t xml:space="preserve">Apply to 10% of port annual no of developments where associated disposal sites and maintained navigation channels are within 5km of rMCZ  
</t>
  </si>
  <si>
    <t xml:space="preserve">Apply to 20% of annual no port developments where associated disposal sites and maintained navigation channels are within 5km of rMCZ  .
</t>
  </si>
  <si>
    <t xml:space="preserve">Apply to 20% of annual no of port developments where associated disposal sites and maintained navigation channels are within 5km of rMCZ  supporting highly mobile species. 
                         </t>
  </si>
  <si>
    <t xml:space="preserve">Apply to 20% of annual no of port developments where associated disposal sites and maintained navigation channels are within 5km of rMCZ  supporting highly mobile species.
</t>
  </si>
  <si>
    <t xml:space="preserve">Apply to 5% of annual no port developments where associated disposal sites and maintained navigation channels are within 5km of rMCZ  supporting highly mobile species. 
                      </t>
  </si>
  <si>
    <t xml:space="preserve">Apply to 5% of annual no of port developments where associated disposal sites and maintained navigation channels are within 5km of rMCZ  
</t>
  </si>
  <si>
    <t>All rMCZ  within 5km of disposal sites and maintained navigation channels</t>
  </si>
  <si>
    <t xml:space="preserve">Apply to 20% of annual no of port developments within 5km of rMCZ  supporting highly mobile species
                    </t>
  </si>
  <si>
    <t xml:space="preserve">Apply to 5% of annual no of port developments within 5km of rMCZ  supporting highly mobile species
                      </t>
  </si>
  <si>
    <t xml:space="preserve">All rMCZ   within 5km of disposal sites. </t>
  </si>
  <si>
    <t>All rMCZ  within 5km of  maintained navigation channels</t>
  </si>
  <si>
    <t xml:space="preserve">Number of  ports within 5km of a rMCZ </t>
  </si>
  <si>
    <t>rMCZ 2 Stour &amp; Orwell Estuaries
rMCZ Reference Area 24 Harwich Haven
rMCZ Reference Area 22 North Mistley</t>
  </si>
  <si>
    <t>rMCZ 3 Blackwater, Crouch, Roach &amp; Colne Estuaries
rMCZ Reference Area 1 Colne Point
rMCZ Reference Area 2 South Mersea</t>
  </si>
  <si>
    <t>rMCZ 5 Thames Estuary
rMCZ Reference Area 3 Holehaven Creek</t>
  </si>
  <si>
    <t>rMCZ 7 Thanet Coast
rMCZ Reference Area 4 Westgate Promontory
rMCZ Reference Area 5 Turner Contemporary</t>
  </si>
  <si>
    <t>rMCZ NG 13a Aln Estuary</t>
  </si>
  <si>
    <t xml:space="preserve">rMCZ Reference Area 2a&amp;2b Seahorse Lagoon and Arnolds Marsh </t>
  </si>
  <si>
    <t>Total number of  ports within 5km of rMCZs</t>
  </si>
  <si>
    <t>Total number of ports within 5km of rMCZs</t>
  </si>
  <si>
    <t>rMZ 15 Solway Estuary</t>
  </si>
  <si>
    <t>rMCZ Reference Area Y Barrow North</t>
  </si>
  <si>
    <t>rMCZ  8 Fylde Offshore</t>
  </si>
  <si>
    <t xml:space="preserve">rMCZ Taw-Torrdige Estuary </t>
  </si>
  <si>
    <t>rMCZ Taw-Torrdige Estuary</t>
  </si>
  <si>
    <t xml:space="preserve">rMCZ Hartland Point to Tintagel </t>
  </si>
  <si>
    <t xml:space="preserve">rMCZ The Dart </t>
  </si>
  <si>
    <t>rMCZ Tamar Estuary Sites</t>
  </si>
  <si>
    <t>rMCZ Isles of Scilly Sites</t>
  </si>
  <si>
    <t>Number of ports (estimate) covered by MDPs in MCZ project region</t>
  </si>
  <si>
    <t>Known MDPs that overlap with rMCZs:</t>
  </si>
  <si>
    <t>Number of MDPs in MCZ project region</t>
  </si>
  <si>
    <r>
      <rPr>
        <b/>
        <sz val="10"/>
        <color theme="1"/>
        <rFont val="Arial"/>
        <family val="2"/>
      </rPr>
      <t>Finding Sanctuary:</t>
    </r>
    <r>
      <rPr>
        <sz val="10"/>
        <color theme="1"/>
        <rFont val="Arial"/>
        <family val="2"/>
      </rPr>
      <t xml:space="preserve">
Southampton Water (Port of Southampton)
Poole Harbour </t>
    </r>
  </si>
  <si>
    <r>
      <rPr>
        <b/>
        <sz val="10"/>
        <color theme="1"/>
        <rFont val="Arial"/>
        <family val="2"/>
      </rPr>
      <t>Balanced Seas:</t>
    </r>
    <r>
      <rPr>
        <sz val="10"/>
        <color theme="1"/>
        <rFont val="Arial"/>
        <family val="2"/>
      </rPr>
      <t xml:space="preserve">
Thames (Port of London Authority)
Stour &amp; Orwell Estuaries (Harwich, Felixstowe and Ipswich)
</t>
    </r>
  </si>
  <si>
    <r>
      <rPr>
        <b/>
        <sz val="10"/>
        <color theme="1"/>
        <rFont val="Arial"/>
        <family val="2"/>
      </rPr>
      <t>Net Gain:</t>
    </r>
    <r>
      <rPr>
        <sz val="10"/>
        <color theme="1"/>
        <rFont val="Arial"/>
        <family val="2"/>
      </rPr>
      <t xml:space="preserve">
Humber Estuary
The Wash</t>
    </r>
  </si>
  <si>
    <r>
      <rPr>
        <b/>
        <sz val="10"/>
        <color theme="1"/>
        <rFont val="Arial"/>
        <family val="2"/>
      </rPr>
      <t>Irish Sea Conservation Zones:</t>
    </r>
    <r>
      <rPr>
        <sz val="10"/>
        <color theme="1"/>
        <rFont val="Arial"/>
        <family val="2"/>
      </rPr>
      <t xml:space="preserve">
Morecambe Bay (Barrow, Fleetwood, Heysham)
Wyre
Mersey (Liverpool etc)</t>
    </r>
  </si>
  <si>
    <t>Total number of known MDPs</t>
  </si>
  <si>
    <t>Number of new MDPs required</t>
  </si>
  <si>
    <t>Number of ports implementing a MDP (high estimate)</t>
  </si>
  <si>
    <t>Number of  ports implementing a MDP (low estimate)</t>
  </si>
  <si>
    <t>Total number of rMCZs within 5km of a disposal/maintained navigation channels</t>
  </si>
  <si>
    <t xml:space="preserve">Total number of rMCZs within 5km of a port </t>
  </si>
  <si>
    <t>Total number of rMCZs within 5km of a disposal/dredge site supporting highly mobile specieis</t>
  </si>
  <si>
    <t>Total number of port developments</t>
  </si>
  <si>
    <t>It may be necessary to implement mitigation measures where sediment impacts are affecting condition of features. Costs will be very site specific. Should it be necessary to relocate a disposal site, costs could be considerably greater than £1m.</t>
  </si>
  <si>
    <t xml:space="preserve">Additional costs associated with existing activities: </t>
  </si>
  <si>
    <t>Costs of additional studies:</t>
  </si>
  <si>
    <t>One-off costs for baseline sediment modelling</t>
  </si>
  <si>
    <t>One-off costs for dredged material dispersal studies</t>
  </si>
  <si>
    <t>One-off costs for consideration of beneficial use of sediments/alternative disposal options</t>
  </si>
  <si>
    <t>One-off costs for additional fish survey work</t>
  </si>
  <si>
    <t>One-off costs to update baselines in existing MDPs (assuming two existing MDPs)</t>
  </si>
  <si>
    <t>One -off costs to implement new MDPs for ports within 5km of a rMCZ (where there currently is not one in place) - high estimate</t>
  </si>
  <si>
    <t>Additional studies to inform baseline:</t>
  </si>
  <si>
    <t>Cost of Additional Mitigation Measures:</t>
  </si>
  <si>
    <t>Annual costs for additional monitoring of sediment dispersion and habitats</t>
  </si>
  <si>
    <t>Annual costs for implementation of sediment management scheme and/or modifications to disposal practices</t>
  </si>
  <si>
    <t>Annual costs for additional work in EIA</t>
  </si>
  <si>
    <t xml:space="preserve">Additional Costs associated with compiling EIAs: </t>
  </si>
  <si>
    <t>Annual costs for baseline sediment modelling</t>
  </si>
  <si>
    <t>Annual costs for dredged material dispersal studies</t>
  </si>
  <si>
    <t>Annual costs for consideration of beneficial use of sediments/alternative disposal options</t>
  </si>
  <si>
    <t>Annual costs for monitoring of sediment dispersion, habitats to assess impacts</t>
  </si>
  <si>
    <t>Annual costs for additional fish survey work</t>
  </si>
  <si>
    <t xml:space="preserve">Annual costs for additional assessment of fish </t>
  </si>
  <si>
    <t xml:space="preserve">Annual costs for additional monitoring of construction </t>
  </si>
  <si>
    <t>Annual costs for additional monitoring post-construction</t>
  </si>
  <si>
    <t>Annual costs for sediment management scheme</t>
  </si>
  <si>
    <t>Annual costs for public inquiry</t>
  </si>
  <si>
    <t>Annual costs for mitigation of capital dredging</t>
  </si>
  <si>
    <t>Annual costs for mitigation of percussive piling</t>
  </si>
  <si>
    <t>Annual costs for mitigation of fish impacts</t>
  </si>
  <si>
    <t>rMCZ Mounts Bay</t>
  </si>
  <si>
    <t xml:space="preserve">Average number of  license applications per year </t>
  </si>
  <si>
    <t>rMCZ NG 13 Coquet to St Mary's</t>
  </si>
  <si>
    <t>rMCZ NG 11 Runswick Bay</t>
  </si>
  <si>
    <t>Average  number of  license applications per year</t>
  </si>
  <si>
    <t>Average number of license applications per year</t>
  </si>
  <si>
    <t>rMCZ NG 2 Cromer Shoal Chalk Beds</t>
  </si>
  <si>
    <t>rMCZ NG 4 Wash Approach</t>
  </si>
  <si>
    <t>rMCZ NG 6 Silver Pit</t>
  </si>
  <si>
    <t xml:space="preserve">rMCZ 2 Stour &amp; Orwell </t>
  </si>
  <si>
    <t xml:space="preserve">rMCZ East of Celtic Deep </t>
  </si>
  <si>
    <t xml:space="preserve">rMCZ Morte Platform </t>
  </si>
  <si>
    <t xml:space="preserve">rMCZ South of Portland </t>
  </si>
  <si>
    <t>rMCZ NG 10 Compass Rose</t>
  </si>
  <si>
    <t>rMCZs within 5km of port</t>
  </si>
  <si>
    <t>rMCZs to which additional cost is associated</t>
  </si>
  <si>
    <t>Updating MDP baseline documents to take account of rMCZs or producing separate MCZ baseline doc, depending on policy choice. Desk-based assessment only. Does not include costs of additional surveys and data collection etc. 
HIGH LIKELIHOOD</t>
  </si>
  <si>
    <t xml:space="preserve">Apply to all known MDPs within 5km of rMCZs:
Thames (Port of London Authority)
Humber Estuary
Southampton Water (Port of Southampton)
Stour &amp; Orwell Estuaries (Harwich, Felixstowe and Ipswich)
The Wash
Morecambe Bay (Barrow, Fleetwood, Heysham)
Wyre
Mersey (Liverpool etc)
Poole Harbour 
</t>
  </si>
  <si>
    <t xml:space="preserve">All rMCZs within 5km of port activities that are included within existing (and known about) MDPs. </t>
  </si>
  <si>
    <t xml:space="preserve">All rMCZs within 5km of port activities for ports that do not currently have a MDP in place. </t>
  </si>
  <si>
    <t xml:space="preserve">Apply to 50% of disposal sites and maintained navigation channels within 5km of rMCZsupporting highly mobile species (eel, smelt, undulate ray).        </t>
  </si>
  <si>
    <t>It is assumed that within 5km of rMCZs there will be a total of 65.5 port developments spread evenly over 20 years, resulting in 3.275 developments per year. 50% of the number of annual port development is 1.638. It is assumed the associated disposal sites and maintained navigational channels are within 5km of rMCZs.</t>
  </si>
  <si>
    <t>It is assumed that within 5km of rMCZs there will be a total of 65.5 port developments spread evenly over 20 years, resulting in 3.275 developments per year. 20% of the number of annual port development is 0.655. It is assumed the associated disposal sites and maintained navigational channels are within 5km of rMCZs.</t>
  </si>
  <si>
    <t>It is assumed that within 5km of rMCZs there will be a total of 65.5 port developments spread evenly over 20 years, resulting in 3.275 developments per year. 10% of the number of annual port development is 0.328. It is assumed the associated disposal sites and maintained navigational channels are within 5km of rMCZs.</t>
  </si>
  <si>
    <t>It is assumed that within 5km of rMCZs there will be a total of 65.5 port developments spread evenly over 20 years, resulting in 3.275 developments per year. 20% of the number of annual port development is 0.655. To present the high cost it is assumed the associated disposal sites and maintained navigational channels are within 5km of rMCZs supporting highly mobile species.</t>
  </si>
  <si>
    <t>It is assumed that within 5km of rMCZs there will be a total of 65.5 port developments spread evenly over 20 years, resulting in 3.275 developments per year. 5% of the number of annual port development is 0.164. To present the high cost it is assumed the associated disposal sites and maintained navigational channels are within 5km of rMCZs supporting highly mobile species.</t>
  </si>
  <si>
    <t>It is assumed that within 5km of rMCZs there will be a total of 65.5 port developments spread evenly over 20 years, resulting in 3.275 developments per year. 5% of the number of annual port development is 0.164. To present the high cost it is assumed the associated disposal sites and maintained navigational channels are within 5km of rMCZs.</t>
  </si>
  <si>
    <t>It is assumed that within 5km of rMCZs there will be a total of 65.5 port developments spread evenly over 20 years, resulting in 3.275 developments per year. 20% of the number of annual port development is 0.655. To present the high cost it is assumed the ports developments are within 5km of rMCZs supporting highly mobile species.</t>
  </si>
  <si>
    <t>It is assumed that within 5km of rMCZs there will be a total of 65.5 port developments spread evenly over 20 years, resulting in 3.275 developments per year. 5% of the number of annual port development is 0.164. To present the high cost it is assumed the developments are within 5km of rMCZs supporting highly mobile species.</t>
  </si>
  <si>
    <t xml:space="preserve">All rMCZs with designated anchorages within them. </t>
  </si>
  <si>
    <t>All rMCZs with ports within them</t>
  </si>
  <si>
    <t>An estimate of the number of ports development has been obtained as set out in the method paper. However it is not known which ports will undertake the developments, so it is not possible to determine if the associated disposal sites and maintained navigational channels are within 5km of rMCZs. To present the highest cost it is assumed they are within 5km of rMCZ .</t>
  </si>
  <si>
    <t>total no. rMCZs within 5km of a port supporting highly mobile species</t>
  </si>
  <si>
    <t xml:space="preserve">Scenario 2 - rMCZspecific analysis* </t>
  </si>
  <si>
    <t>Scenario 2 rMCZspecific analysis*</t>
  </si>
  <si>
    <t>MCZ region</t>
  </si>
  <si>
    <t>Newport</t>
  </si>
  <si>
    <t>FS</t>
  </si>
  <si>
    <t>morcambe bay</t>
  </si>
  <si>
    <t>workington</t>
  </si>
  <si>
    <t>n/a</t>
  </si>
  <si>
    <t>MCZ 20 The Needles</t>
  </si>
  <si>
    <t>Additional cost incurred when it is assumed that no MDPs are in place. Provided as the basis from which high cost and low cost estimates are calcuated</t>
  </si>
  <si>
    <t>Best estimate (based on number of MDPs in the baseline).</t>
  </si>
  <si>
    <t xml:space="preserve">Total one-off costs(with duplication of navigational dredge areas and disposal at sea between rMCZs removed) </t>
  </si>
  <si>
    <t>Navigational dredging - additional cost in future licence application:</t>
  </si>
  <si>
    <t xml:space="preserve">Total annual costs (sum of per rMCZ costs) </t>
  </si>
  <si>
    <t xml:space="preserve">Total one-off costs (with duplication of navigational dredge areas between rMCZs removed - there is no duplication of diposal sites between rMCZs) </t>
  </si>
  <si>
    <t xml:space="preserve">Total one-off costs(with duplication of navigational dredge areas between rMCZs removed - there is no duplication of disposal sites between rMCZs) </t>
  </si>
  <si>
    <t xml:space="preserve">Mitigation costs </t>
  </si>
  <si>
    <t>Total Costs</t>
  </si>
  <si>
    <t>Cost to update assessment of environmental impact in future licence applications (duplication removed) incurred to ports within 5km of a rMCZ that do not have a MDP. Assumes that this applies to 50% of ports within 5km.</t>
  </si>
  <si>
    <t>Cost to update assessment of environmental impact incurred to ports within 5km of a rMCZ that do have a MDP. Assumed that this applies to 50% of ports within 5km.</t>
  </si>
  <si>
    <t>Cost to update assessment of environmental impact in future licence applications (duplication removed) incurred to ports within 5km of a rMCZ that do not have a MDP. Assumes that this applies to 45% of ports within 5k.</t>
  </si>
  <si>
    <t>Cost to update assessment of environmental impact incurred to ports within 5km of a rMCZ that do have a MDP. Assumed that this applies to 55% of ports within 5km.</t>
  </si>
  <si>
    <t>Cost to update assessment of environmental impact in future licence applications (duplication removed) incurred to ports within 5km of a rMCZ that do not have a MDP. Assumes that this applies to 25% of ports within 5km.</t>
  </si>
  <si>
    <t>Cost to update assessment of environmental impact incurred to ports within 5km of a rMCZ that do have a MDP. Assumed that this applies to 75% of ports within 5km.</t>
  </si>
  <si>
    <t>Costs to update assessment of environmental impact in future licence applications (duplication removed) incurred to ports within 5km of a rMCZ that do not have a MDP. Assumes that this applies to 40% of ports within 5km.</t>
  </si>
  <si>
    <t>Costs to update assessment of environmental impact incurred to ports within 5km of a rMCZ that do have a MDP. Assumed that this applies to 60% of ports within 5km:</t>
  </si>
  <si>
    <t>Total additional costs in future licence applications for navigational dredging only (with duplication between rMCZs removed)</t>
  </si>
  <si>
    <t>Total additional costs in future licence applications for all other port activities (with duplication between rMCZs removed)</t>
  </si>
  <si>
    <t>Cost to update assessment of environmental impact in future licence applications (duplication removed) for navigational dredging only, incurred to ports within 5km of a rMCZ that do not have a MDP. Assumes that this applies to 75% of ports within 5km.</t>
  </si>
  <si>
    <t>Cost to update assessment of environmental impacts incurred to ports within 5km of a rMCZ that do have a MDP for navigational dredging only. Assumed that this applies to 25% of ports within 5km.</t>
  </si>
  <si>
    <t xml:space="preserve">Total one-off costs(with duplication of navigational dredge areas and disposal sites between rMCZs removed) </t>
  </si>
  <si>
    <t>Cost to update assessment of environmental impact in future licence applications (duplication removed) for navigational dredging only, incurred to ports within 5km of a rMCZ that do not have a MDP. Assumes that this applies to 50% of ports within 5km.</t>
  </si>
  <si>
    <t>Cost to update assessment of environmental impact in future licence applications (duplication removed) for navigational dredging only, incurred to ports within 5km of a rMCZ that do not have a MDP. Assumes that this applies to 60% of ports within 5km.</t>
  </si>
  <si>
    <t>Cost to update assessment of environmental impact in future licence applications (duplication removed) for navigational dredging only,  incurred to ports within 5km of a rMCZ that do not have a MDP. Assumes that this applies to 100% of ports within 5km.</t>
  </si>
  <si>
    <t>Cost to update assessment of environmental impact in future licence applications (duplication removed) for navigational dredging only,  incurred to ports within 5km of a rMCZ that do not have a MDP. Assumes that this applies to 70% of ports within 5km.</t>
  </si>
  <si>
    <t>Cost to update assessment of environmental impact incurred to ports within 5km of a rMCZ that do have a MDP for navigational dredging only. Assumed that this applies to 50% of ports within 5km.</t>
  </si>
  <si>
    <t>Cost to update assessment of environmental impact incurred to ports within 5km of a rMCZ that do have a MDP for navigational dredging only.  Assumed that this applies to 40% of ports within 5km.</t>
  </si>
  <si>
    <t>Cost to update assessment of environmental impact incurred to ports within 5km of a rMCZ that do have a MDP for navigational dredging only.  Assumed that this applies to 0% of ports within 5km.</t>
  </si>
  <si>
    <t>Cost to update assessment of environmental impact incurred to ports within 5km of a rMCZ that do have a MDP for navigational dredging only.  Assumed that this applies to 30% of ports within 5km.</t>
  </si>
  <si>
    <t>* Cefas (pers. comm., 2012) identified in July 2012 that disposal sites ‘Stour Water Column 3 (TH201)’ and ‘River Stour ‘Area 1 Subtidal S (TH211)’ are within 1km of rMCZ Reference Areas 22 North Mistley and 24 Harwich Haven. They are currently listed in the analysis as within 1km of rMCZ 2 Stour and Orwell Estuaries only. At this late stage in the analysis it was too late to include the costs of rMCZ Reference Areas 22 North Mistley and 24 Harwich Haven to these disposal sites in the IA. However, as disposal site ‘Stour Water Column 3 (TH201)’ has not been used in the last ten years although it is still classed as ‘open’ (Cefas, pers. comm., 2012), the IA would have assumed that no cost would have been incurred to the ports, harbours, shipping and disposal sites sector. The cost incurred by the rMCZs in relation to ‘River Stour ‘Area 1 Subtidal S (TH211)’ will be included in the IA (as it is included already) however this cost is only associated with rMCZ 2 Stour and Orwell Estuaries only.</t>
  </si>
  <si>
    <t>TH201*</t>
  </si>
  <si>
    <t>TH211*</t>
  </si>
  <si>
    <t>Cost to update assessment of environmental impact in future licence applications (duplication removed) incurred to ports within 5km of a rMCZ that do not have a MDP. Assumes that this applies to 75% of ports within 5km:</t>
  </si>
  <si>
    <t>Cost to update assessment of environmental impact incurred to ports within 5km of a rMCZ that do have a MDP. Assumed that this applies to 25% of ports within 5km.</t>
  </si>
  <si>
    <t>One-off costsfor The Fal only</t>
  </si>
  <si>
    <t>One-off costs for FS exlcuding The Fal</t>
  </si>
  <si>
    <t>Contents</t>
  </si>
  <si>
    <t>Scenario 1 Assumptions'!A1</t>
  </si>
  <si>
    <t>Scenario 1 Calculations'!A1</t>
  </si>
  <si>
    <t>Scenario 2 Assumptions'!A1</t>
  </si>
  <si>
    <t>Scenario 2 Calculations'!A1</t>
  </si>
  <si>
    <t>Best-estimate'!A1</t>
  </si>
  <si>
    <t>Industry Assumptions'!A1</t>
  </si>
  <si>
    <t>Industry Calculations'!A1</t>
  </si>
  <si>
    <t>No. port. appl. MMO'!A1</t>
  </si>
  <si>
    <t>Ports within 5km rMCZ'!A1</t>
  </si>
  <si>
    <t xml:space="preserve">Assumptions: Ports, harbours, shipping and disposal sites - Scenario 1 </t>
  </si>
  <si>
    <t>Calculations: Ports, harbours, shipping and disposal sites - Scenario 1</t>
  </si>
  <si>
    <t xml:space="preserve">Calculations: Ports, harbours, shipping and disposal sites - Scenario 2 </t>
  </si>
  <si>
    <t xml:space="preserve">Assumptions: Ports, harbours, shipping and disposal sites - Scenario 2 </t>
  </si>
  <si>
    <t>Best-estimate: Ports, harbours, shipping and disposal sites</t>
  </si>
  <si>
    <t xml:space="preserve">Calculations: Ports, harbours, shipping and disposal sites - Industry Assessment of Costs </t>
  </si>
  <si>
    <t>Assumptions: Ports, harbours, shipping and disposal sites - Industry Assessment of Costs</t>
  </si>
  <si>
    <t xml:space="preserve">MCZ IA Calculations: Ports, harbours, shipping and disposal sites </t>
  </si>
  <si>
    <r>
      <t xml:space="preserve">Annex N11 from Finding Sanctuary, Irish Seas Conservation Zones, Net Gain and Balanced Seas. 2012. </t>
    </r>
    <r>
      <rPr>
        <i/>
        <sz val="10"/>
        <color theme="1"/>
        <rFont val="Arial"/>
        <family val="2"/>
      </rPr>
      <t>Impact Assessment materials in support of the Regional Marine Conservation Zone Projects' Recommendations.</t>
    </r>
  </si>
</sst>
</file>

<file path=xl/styles.xml><?xml version="1.0" encoding="utf-8"?>
<styleSheet xmlns="http://schemas.openxmlformats.org/spreadsheetml/2006/main">
  <numFmts count="7">
    <numFmt numFmtId="6" formatCode="&quot;£&quot;#,##0;[Red]\-&quot;£&quot;#,##0"/>
    <numFmt numFmtId="44" formatCode="_-&quot;£&quot;* #,##0.00_-;\-&quot;£&quot;* #,##0.00_-;_-&quot;£&quot;* &quot;-&quot;??_-;_-@_-"/>
    <numFmt numFmtId="164" formatCode="0.000"/>
    <numFmt numFmtId="165" formatCode="#,##0.000_ ;[Red]\-#,##0.000\ "/>
    <numFmt numFmtId="166" formatCode="0.00000"/>
    <numFmt numFmtId="167" formatCode="#,##0.000,,"/>
    <numFmt numFmtId="168" formatCode="0.0000"/>
  </numFmts>
  <fonts count="30">
    <font>
      <sz val="11"/>
      <color theme="1"/>
      <name val="Calibri"/>
      <family val="2"/>
      <scheme val="minor"/>
    </font>
    <font>
      <sz val="10"/>
      <color theme="1"/>
      <name val="Arial"/>
      <family val="2"/>
    </font>
    <font>
      <sz val="10"/>
      <color theme="1"/>
      <name val="Arial"/>
      <family val="2"/>
    </font>
    <font>
      <sz val="10"/>
      <color theme="1"/>
      <name val="Arial"/>
      <family val="2"/>
    </font>
    <font>
      <sz val="11"/>
      <color theme="1"/>
      <name val="Calibri"/>
      <family val="2"/>
      <scheme val="minor"/>
    </font>
    <font>
      <sz val="9"/>
      <color theme="1"/>
      <name val="Arial"/>
      <family val="2"/>
    </font>
    <font>
      <b/>
      <sz val="10"/>
      <color theme="1"/>
      <name val="Arial"/>
      <family val="2"/>
    </font>
    <font>
      <b/>
      <sz val="14"/>
      <color theme="1"/>
      <name val="Arial"/>
      <family val="2"/>
    </font>
    <font>
      <i/>
      <sz val="10"/>
      <color theme="1"/>
      <name val="Arial"/>
      <family val="2"/>
    </font>
    <font>
      <sz val="10"/>
      <name val="Arial"/>
      <family val="2"/>
    </font>
    <font>
      <sz val="10"/>
      <color rgb="FF000000"/>
      <name val="Arial"/>
      <family val="2"/>
    </font>
    <font>
      <sz val="11"/>
      <name val="Arial"/>
      <family val="2"/>
    </font>
    <font>
      <b/>
      <i/>
      <sz val="10"/>
      <color theme="1"/>
      <name val="Arial"/>
      <family val="2"/>
    </font>
    <font>
      <b/>
      <sz val="10"/>
      <color theme="1"/>
      <name val="Calibri"/>
      <family val="2"/>
      <scheme val="minor"/>
    </font>
    <font>
      <b/>
      <sz val="10"/>
      <color rgb="FFFF0000"/>
      <name val="Calibri"/>
      <family val="2"/>
      <scheme val="minor"/>
    </font>
    <font>
      <sz val="10"/>
      <color theme="1"/>
      <name val="Calibri"/>
      <family val="2"/>
      <scheme val="minor"/>
    </font>
    <font>
      <b/>
      <i/>
      <sz val="10"/>
      <color rgb="FF00B050"/>
      <name val="Calibri"/>
      <family val="2"/>
    </font>
    <font>
      <sz val="10"/>
      <color rgb="FFFF0000"/>
      <name val="Calibri"/>
      <family val="2"/>
      <scheme val="minor"/>
    </font>
    <font>
      <i/>
      <sz val="10"/>
      <color rgb="FF00B050"/>
      <name val="Calibri"/>
      <family val="2"/>
    </font>
    <font>
      <sz val="10"/>
      <color rgb="FF00B050"/>
      <name val="Calibri"/>
      <family val="2"/>
      <scheme val="minor"/>
    </font>
    <font>
      <sz val="14"/>
      <color theme="1"/>
      <name val="Arial"/>
      <family val="2"/>
    </font>
    <font>
      <b/>
      <u/>
      <sz val="10"/>
      <color theme="1"/>
      <name val="Arial"/>
      <family val="2"/>
    </font>
    <font>
      <i/>
      <u/>
      <sz val="10"/>
      <color theme="1"/>
      <name val="Arial"/>
      <family val="2"/>
    </font>
    <font>
      <u/>
      <sz val="10"/>
      <color theme="1"/>
      <name val="Arial"/>
      <family val="2"/>
    </font>
    <font>
      <sz val="10"/>
      <color rgb="FF1F497D"/>
      <name val="Arial"/>
      <family val="2"/>
    </font>
    <font>
      <b/>
      <sz val="10"/>
      <color indexed="8"/>
      <name val="Arial"/>
      <family val="2"/>
    </font>
    <font>
      <sz val="10"/>
      <color indexed="8"/>
      <name val="Arial"/>
      <family val="2"/>
    </font>
    <font>
      <b/>
      <sz val="10"/>
      <name val="Arial"/>
      <family val="2"/>
    </font>
    <font>
      <b/>
      <sz val="11"/>
      <color theme="1"/>
      <name val="Calibri"/>
      <family val="2"/>
      <scheme val="minor"/>
    </font>
    <font>
      <u/>
      <sz val="11"/>
      <color theme="10"/>
      <name val="Calibri"/>
      <family val="2"/>
      <scheme val="minor"/>
    </font>
  </fonts>
  <fills count="8">
    <fill>
      <patternFill patternType="none"/>
    </fill>
    <fill>
      <patternFill patternType="gray125"/>
    </fill>
    <fill>
      <patternFill patternType="solid">
        <fgColor theme="0" tint="-0.14999847407452621"/>
        <bgColor indexed="64"/>
      </patternFill>
    </fill>
    <fill>
      <patternFill patternType="solid">
        <fgColor indexed="22"/>
        <bgColor indexed="64"/>
      </patternFill>
    </fill>
    <fill>
      <patternFill patternType="solid">
        <fgColor indexed="13"/>
        <bgColor indexed="64"/>
      </patternFill>
    </fill>
    <fill>
      <patternFill patternType="solid">
        <fgColor theme="4" tint="0.59999389629810485"/>
        <bgColor indexed="64"/>
      </patternFill>
    </fill>
    <fill>
      <patternFill patternType="solid">
        <fgColor theme="0" tint="-0.249977111117893"/>
        <bgColor indexed="64"/>
      </patternFill>
    </fill>
    <fill>
      <patternFill patternType="solid">
        <fgColor theme="4" tint="0.79998168889431442"/>
        <bgColor indexed="64"/>
      </patternFill>
    </fill>
  </fills>
  <borders count="40">
    <border>
      <left/>
      <right/>
      <top/>
      <bottom/>
      <diagonal/>
    </border>
    <border>
      <left/>
      <right/>
      <top/>
      <bottom style="thin">
        <color indexed="64"/>
      </bottom>
      <diagonal/>
    </border>
    <border>
      <left/>
      <right/>
      <top style="thin">
        <color indexed="64"/>
      </top>
      <bottom style="thin">
        <color indexed="64"/>
      </bottom>
      <diagonal/>
    </border>
    <border>
      <left/>
      <right/>
      <top/>
      <bottom style="medium">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D0D7E5"/>
      </left>
      <right style="thin">
        <color rgb="FFD0D7E5"/>
      </right>
      <top style="thin">
        <color rgb="FFD0D7E5"/>
      </top>
      <bottom style="thin">
        <color rgb="FFD0D7E5"/>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D0D7E5"/>
      </left>
      <right style="thin">
        <color rgb="FFD0D7E5"/>
      </right>
      <top/>
      <bottom style="thin">
        <color rgb="FFD0D7E5"/>
      </bottom>
      <diagonal/>
    </border>
    <border>
      <left/>
      <right style="thin">
        <color rgb="FFD0D7E5"/>
      </right>
      <top style="thin">
        <color rgb="FFD0D7E5"/>
      </top>
      <bottom style="thin">
        <color rgb="FFD0D7E5"/>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rgb="FF8EB9D9"/>
      </left>
      <right style="medium">
        <color rgb="FF8EB9D9"/>
      </right>
      <top style="medium">
        <color rgb="FF8EB9D9"/>
      </top>
      <bottom/>
      <diagonal/>
    </border>
    <border>
      <left style="medium">
        <color rgb="FF8EB9D9"/>
      </left>
      <right style="medium">
        <color rgb="FF8EB9D9"/>
      </right>
      <top/>
      <bottom/>
      <diagonal/>
    </border>
    <border>
      <left style="medium">
        <color rgb="FF8EB9D9"/>
      </left>
      <right style="medium">
        <color rgb="FF8EB9D9"/>
      </right>
      <top/>
      <bottom style="medium">
        <color rgb="FF8EB9D9"/>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style="thin">
        <color theme="1"/>
      </left>
      <right style="thin">
        <color theme="1"/>
      </right>
      <top style="thin">
        <color theme="1"/>
      </top>
      <bottom style="thin">
        <color theme="1"/>
      </bottom>
      <diagonal/>
    </border>
    <border>
      <left/>
      <right/>
      <top style="thin">
        <color theme="1"/>
      </top>
      <bottom/>
      <diagonal/>
    </border>
    <border>
      <left/>
      <right/>
      <top/>
      <bottom style="thin">
        <color theme="1"/>
      </bottom>
      <diagonal/>
    </border>
    <border>
      <left/>
      <right/>
      <top style="thin">
        <color indexed="64"/>
      </top>
      <bottom/>
      <diagonal/>
    </border>
  </borders>
  <cellStyleXfs count="4">
    <xf numFmtId="0" fontId="0" fillId="0" borderId="0"/>
    <xf numFmtId="44" fontId="4" fillId="0" borderId="0" applyFont="0" applyFill="0" applyBorder="0" applyAlignment="0" applyProtection="0"/>
    <xf numFmtId="0" fontId="11" fillId="0" borderId="0"/>
    <xf numFmtId="0" fontId="29" fillId="0" borderId="0" applyNumberFormat="0" applyFill="0" applyBorder="0" applyAlignment="0" applyProtection="0"/>
  </cellStyleXfs>
  <cellXfs count="478">
    <xf numFmtId="0" fontId="0" fillId="0" borderId="0" xfId="0"/>
    <xf numFmtId="0" fontId="0" fillId="0" borderId="0" xfId="0"/>
    <xf numFmtId="0" fontId="6" fillId="0" borderId="0" xfId="0" applyFont="1" applyFill="1" applyAlignment="1">
      <alignment horizontal="right"/>
    </xf>
    <xf numFmtId="0" fontId="6" fillId="0" borderId="0" xfId="0" applyFont="1"/>
    <xf numFmtId="0" fontId="6" fillId="0" borderId="0" xfId="0" applyFont="1" applyFill="1" applyBorder="1"/>
    <xf numFmtId="0" fontId="6" fillId="0" borderId="0" xfId="0" applyFont="1" applyBorder="1" applyAlignment="1"/>
    <xf numFmtId="0" fontId="6" fillId="0" borderId="0" xfId="0" applyFont="1" applyBorder="1" applyAlignment="1">
      <alignment horizontal="center" wrapText="1"/>
    </xf>
    <xf numFmtId="0" fontId="6" fillId="0" borderId="0" xfId="0" applyFont="1" applyBorder="1" applyAlignment="1">
      <alignment horizontal="left" wrapText="1"/>
    </xf>
    <xf numFmtId="0" fontId="8" fillId="0" borderId="0" xfId="0" applyFont="1" applyBorder="1"/>
    <xf numFmtId="0" fontId="8" fillId="0" borderId="0" xfId="0" applyFont="1" applyBorder="1" applyAlignment="1"/>
    <xf numFmtId="0" fontId="8" fillId="0" borderId="0" xfId="0" applyFont="1" applyFill="1" applyBorder="1"/>
    <xf numFmtId="0" fontId="8" fillId="0" borderId="0" xfId="0" applyFont="1" applyFill="1" applyBorder="1" applyAlignment="1"/>
    <xf numFmtId="0" fontId="8" fillId="0" borderId="0" xfId="0" applyFont="1"/>
    <xf numFmtId="0" fontId="6" fillId="0" borderId="0" xfId="0" applyFont="1" applyBorder="1"/>
    <xf numFmtId="0" fontId="6" fillId="0" borderId="23" xfId="0" applyFont="1" applyBorder="1"/>
    <xf numFmtId="6" fontId="6" fillId="0" borderId="24" xfId="0" applyNumberFormat="1" applyFont="1" applyBorder="1"/>
    <xf numFmtId="0" fontId="6" fillId="2" borderId="12" xfId="0" applyFont="1" applyFill="1" applyBorder="1"/>
    <xf numFmtId="0" fontId="6" fillId="2" borderId="12" xfId="0" applyFont="1" applyFill="1" applyBorder="1" applyAlignment="1">
      <alignment wrapText="1"/>
    </xf>
    <xf numFmtId="0" fontId="9" fillId="0" borderId="12" xfId="0" applyFont="1" applyBorder="1" applyAlignment="1">
      <alignment wrapText="1"/>
    </xf>
    <xf numFmtId="0" fontId="9" fillId="0" borderId="12" xfId="0" applyFont="1" applyFill="1" applyBorder="1" applyAlignment="1">
      <alignment wrapText="1"/>
    </xf>
    <xf numFmtId="0" fontId="6" fillId="0" borderId="0" xfId="0" applyFont="1" applyFill="1"/>
    <xf numFmtId="0" fontId="6" fillId="0" borderId="12" xfId="0" applyFont="1" applyFill="1" applyBorder="1" applyAlignment="1">
      <alignment horizontal="left"/>
    </xf>
    <xf numFmtId="0" fontId="6" fillId="0" borderId="12" xfId="0" applyFont="1" applyBorder="1" applyAlignment="1">
      <alignment horizontal="center" wrapText="1"/>
    </xf>
    <xf numFmtId="0" fontId="6" fillId="0" borderId="12" xfId="0" applyFont="1" applyBorder="1" applyAlignment="1">
      <alignment horizontal="left" wrapText="1"/>
    </xf>
    <xf numFmtId="0" fontId="6" fillId="0" borderId="12" xfId="0" applyFont="1" applyBorder="1"/>
    <xf numFmtId="0" fontId="6" fillId="0" borderId="12" xfId="0" applyFont="1" applyFill="1" applyBorder="1" applyAlignment="1">
      <alignment horizontal="center"/>
    </xf>
    <xf numFmtId="0" fontId="6" fillId="0" borderId="12" xfId="0" applyFont="1" applyBorder="1" applyAlignment="1">
      <alignment horizontal="center"/>
    </xf>
    <xf numFmtId="0" fontId="10" fillId="0" borderId="12" xfId="0" applyFont="1" applyFill="1" applyBorder="1" applyAlignment="1" applyProtection="1">
      <alignment horizontal="left" vertical="top" wrapText="1"/>
    </xf>
    <xf numFmtId="0" fontId="10" fillId="0" borderId="0" xfId="0" applyFont="1" applyFill="1" applyBorder="1" applyAlignment="1" applyProtection="1">
      <alignment vertical="center" wrapText="1"/>
    </xf>
    <xf numFmtId="1" fontId="6" fillId="0" borderId="12" xfId="1" applyNumberFormat="1" applyFont="1" applyBorder="1"/>
    <xf numFmtId="164" fontId="6" fillId="0" borderId="0" xfId="0" applyNumberFormat="1" applyFont="1" applyBorder="1"/>
    <xf numFmtId="164" fontId="10" fillId="0" borderId="11" xfId="0" applyNumberFormat="1" applyFont="1" applyFill="1" applyBorder="1" applyAlignment="1" applyProtection="1">
      <alignment vertical="center"/>
    </xf>
    <xf numFmtId="0" fontId="8" fillId="0" borderId="10" xfId="0" applyFont="1" applyBorder="1" applyAlignment="1">
      <alignment wrapText="1"/>
    </xf>
    <xf numFmtId="0" fontId="6" fillId="0" borderId="10" xfId="0" applyFont="1" applyBorder="1" applyAlignment="1">
      <alignment wrapText="1"/>
    </xf>
    <xf numFmtId="164" fontId="6" fillId="0" borderId="0" xfId="0" applyNumberFormat="1" applyFont="1" applyFill="1" applyBorder="1"/>
    <xf numFmtId="164" fontId="6" fillId="0" borderId="11" xfId="0" applyNumberFormat="1" applyFont="1" applyFill="1" applyBorder="1"/>
    <xf numFmtId="0" fontId="10" fillId="0" borderId="10" xfId="0" applyFont="1" applyFill="1" applyBorder="1" applyAlignment="1" applyProtection="1">
      <alignment vertical="center"/>
    </xf>
    <xf numFmtId="0" fontId="6" fillId="0" borderId="8" xfId="0" applyFont="1" applyBorder="1" applyAlignment="1">
      <alignment wrapText="1"/>
    </xf>
    <xf numFmtId="164" fontId="6" fillId="0" borderId="3" xfId="0" applyNumberFormat="1" applyFont="1" applyFill="1" applyBorder="1"/>
    <xf numFmtId="164" fontId="6" fillId="0" borderId="9" xfId="0" applyNumberFormat="1" applyFont="1" applyFill="1" applyBorder="1"/>
    <xf numFmtId="0" fontId="10" fillId="0" borderId="0" xfId="0" applyFont="1" applyFill="1" applyBorder="1" applyAlignment="1">
      <alignment vertical="top" wrapText="1"/>
    </xf>
    <xf numFmtId="0" fontId="10" fillId="0" borderId="0" xfId="0" applyFont="1" applyFill="1" applyBorder="1" applyAlignment="1">
      <alignment vertical="top"/>
    </xf>
    <xf numFmtId="0" fontId="10" fillId="0" borderId="0" xfId="0" applyFont="1" applyFill="1" applyBorder="1"/>
    <xf numFmtId="0" fontId="6" fillId="0" borderId="8" xfId="0" applyFont="1" applyFill="1" applyBorder="1" applyAlignment="1">
      <alignment wrapText="1"/>
    </xf>
    <xf numFmtId="0" fontId="10" fillId="0" borderId="10" xfId="0" applyFont="1" applyFill="1" applyBorder="1" applyAlignment="1">
      <alignment vertical="top"/>
    </xf>
    <xf numFmtId="0" fontId="10" fillId="0" borderId="10" xfId="0" applyFont="1" applyFill="1" applyBorder="1" applyAlignment="1">
      <alignment vertical="top" wrapText="1"/>
    </xf>
    <xf numFmtId="0" fontId="9" fillId="0" borderId="10" xfId="0" applyFont="1" applyBorder="1" applyAlignment="1"/>
    <xf numFmtId="164" fontId="6" fillId="0" borderId="7" xfId="0" applyNumberFormat="1" applyFont="1" applyFill="1" applyBorder="1"/>
    <xf numFmtId="0" fontId="8" fillId="0" borderId="10" xfId="0" applyFont="1" applyFill="1" applyBorder="1" applyAlignment="1">
      <alignment wrapText="1"/>
    </xf>
    <xf numFmtId="0" fontId="6" fillId="0" borderId="10" xfId="0" applyFont="1" applyFill="1" applyBorder="1" applyAlignment="1">
      <alignment wrapText="1"/>
    </xf>
    <xf numFmtId="0" fontId="6" fillId="0" borderId="10" xfId="0" applyFont="1" applyFill="1" applyBorder="1" applyAlignment="1"/>
    <xf numFmtId="0" fontId="3" fillId="0" borderId="12" xfId="0" applyFont="1" applyBorder="1"/>
    <xf numFmtId="164" fontId="3" fillId="0" borderId="0" xfId="0" applyNumberFormat="1" applyFont="1" applyFill="1" applyBorder="1"/>
    <xf numFmtId="164" fontId="3" fillId="0" borderId="11" xfId="0" applyNumberFormat="1" applyFont="1" applyBorder="1"/>
    <xf numFmtId="0" fontId="5" fillId="0" borderId="27" xfId="0" applyFont="1" applyBorder="1" applyAlignment="1">
      <alignment horizontal="justify" wrapText="1"/>
    </xf>
    <xf numFmtId="0" fontId="5" fillId="0" borderId="28" xfId="0" applyFont="1" applyBorder="1" applyAlignment="1">
      <alignment horizontal="justify" wrapText="1"/>
    </xf>
    <xf numFmtId="0" fontId="5" fillId="0" borderId="29" xfId="0" applyFont="1" applyBorder="1" applyAlignment="1">
      <alignment horizontal="justify" wrapText="1"/>
    </xf>
    <xf numFmtId="0" fontId="13" fillId="2" borderId="12" xfId="0" applyFont="1" applyFill="1" applyBorder="1" applyAlignment="1">
      <alignment wrapText="1"/>
    </xf>
    <xf numFmtId="0" fontId="14" fillId="0" borderId="0" xfId="0" applyFont="1" applyAlignment="1">
      <alignment wrapText="1"/>
    </xf>
    <xf numFmtId="0" fontId="15" fillId="0" borderId="0" xfId="0" applyFont="1"/>
    <xf numFmtId="0" fontId="16" fillId="0" borderId="0" xfId="0" applyFont="1"/>
    <xf numFmtId="0" fontId="3" fillId="0" borderId="12" xfId="0" applyFont="1" applyBorder="1" applyAlignment="1"/>
    <xf numFmtId="0" fontId="15" fillId="0" borderId="12" xfId="0" applyFont="1" applyBorder="1" applyAlignment="1">
      <alignment wrapText="1"/>
    </xf>
    <xf numFmtId="0" fontId="15" fillId="0" borderId="12" xfId="0" applyFont="1" applyBorder="1"/>
    <xf numFmtId="0" fontId="17" fillId="0" borderId="0" xfId="0" applyFont="1" applyAlignment="1">
      <alignment wrapText="1"/>
    </xf>
    <xf numFmtId="0" fontId="18" fillId="0" borderId="0" xfId="0" applyFont="1" applyAlignment="1">
      <alignment horizontal="left"/>
    </xf>
    <xf numFmtId="0" fontId="15" fillId="0" borderId="0" xfId="0" applyFont="1" applyAlignment="1">
      <alignment wrapText="1"/>
    </xf>
    <xf numFmtId="0" fontId="3" fillId="0" borderId="12" xfId="0" applyFont="1" applyBorder="1" applyAlignment="1">
      <alignment horizontal="left" vertical="top"/>
    </xf>
    <xf numFmtId="0" fontId="3" fillId="0" borderId="12" xfId="0" applyFont="1" applyBorder="1" applyAlignment="1">
      <alignment wrapText="1"/>
    </xf>
    <xf numFmtId="0" fontId="19" fillId="0" borderId="0" xfId="0" applyFont="1"/>
    <xf numFmtId="0" fontId="17" fillId="0" borderId="0" xfId="0" applyFont="1"/>
    <xf numFmtId="0" fontId="3" fillId="0" borderId="12" xfId="0" applyFont="1" applyBorder="1" applyAlignment="1">
      <alignment vertical="top"/>
    </xf>
    <xf numFmtId="0" fontId="6" fillId="0" borderId="12" xfId="0" applyFont="1" applyBorder="1" applyAlignment="1"/>
    <xf numFmtId="0" fontId="3" fillId="0" borderId="0" xfId="0" applyFont="1" applyAlignment="1">
      <alignment horizontal="left" vertical="top" wrapText="1"/>
    </xf>
    <xf numFmtId="0" fontId="3" fillId="0" borderId="0" xfId="0" applyFont="1"/>
    <xf numFmtId="0" fontId="3" fillId="0" borderId="0" xfId="0" applyFont="1" applyAlignment="1"/>
    <xf numFmtId="0" fontId="6" fillId="0" borderId="12" xfId="0" applyFont="1" applyBorder="1" applyAlignment="1"/>
    <xf numFmtId="0" fontId="5" fillId="0" borderId="28" xfId="0" applyFont="1" applyBorder="1" applyAlignment="1">
      <alignment horizontal="justify" wrapText="1"/>
    </xf>
    <xf numFmtId="0" fontId="3" fillId="0" borderId="12" xfId="0" applyFont="1" applyBorder="1" applyAlignment="1">
      <alignment horizontal="left" vertical="top" wrapText="1"/>
    </xf>
    <xf numFmtId="164" fontId="3" fillId="0" borderId="12" xfId="0" applyNumberFormat="1" applyFont="1" applyBorder="1" applyAlignment="1">
      <alignment horizontal="center" vertical="center"/>
    </xf>
    <xf numFmtId="0" fontId="3" fillId="0" borderId="1" xfId="0" applyFont="1" applyBorder="1"/>
    <xf numFmtId="0" fontId="3" fillId="0" borderId="0" xfId="0" applyFont="1" applyBorder="1"/>
    <xf numFmtId="0" fontId="3" fillId="0" borderId="0" xfId="0" applyFont="1" applyBorder="1" applyAlignment="1"/>
    <xf numFmtId="0" fontId="3" fillId="0" borderId="0" xfId="0" applyFont="1" applyBorder="1" applyAlignment="1">
      <alignment wrapText="1"/>
    </xf>
    <xf numFmtId="0" fontId="3" fillId="0" borderId="12" xfId="0" applyFont="1" applyFill="1" applyBorder="1" applyAlignment="1">
      <alignment horizontal="center"/>
    </xf>
    <xf numFmtId="0" fontId="3" fillId="0" borderId="12" xfId="0" applyFont="1" applyFill="1" applyBorder="1" applyAlignment="1"/>
    <xf numFmtId="0" fontId="3" fillId="0" borderId="0" xfId="0" applyFont="1" applyFill="1" applyBorder="1" applyAlignment="1"/>
    <xf numFmtId="0" fontId="3" fillId="0" borderId="0" xfId="0" applyFont="1" applyFill="1" applyBorder="1" applyAlignment="1">
      <alignment horizontal="center"/>
    </xf>
    <xf numFmtId="0" fontId="3" fillId="0" borderId="12" xfId="0" applyFont="1" applyBorder="1" applyAlignment="1">
      <alignment horizontal="center"/>
    </xf>
    <xf numFmtId="0" fontId="3" fillId="0" borderId="0" xfId="0" applyFont="1" applyAlignment="1">
      <alignment horizontal="center"/>
    </xf>
    <xf numFmtId="0" fontId="3" fillId="0" borderId="0" xfId="0" applyFont="1" applyAlignment="1">
      <alignment wrapText="1"/>
    </xf>
    <xf numFmtId="0" fontId="3" fillId="0" borderId="12" xfId="0" applyFont="1" applyBorder="1" applyAlignment="1">
      <alignment horizontal="left"/>
    </xf>
    <xf numFmtId="0" fontId="3" fillId="0" borderId="0" xfId="0" applyFont="1" applyAlignment="1">
      <alignment horizontal="left"/>
    </xf>
    <xf numFmtId="0" fontId="3" fillId="0" borderId="21" xfId="0" applyFont="1" applyBorder="1" applyAlignment="1">
      <alignment wrapText="1"/>
    </xf>
    <xf numFmtId="0" fontId="3" fillId="0" borderId="22" xfId="0" applyFont="1" applyBorder="1" applyAlignment="1">
      <alignment horizontal="right"/>
    </xf>
    <xf numFmtId="0" fontId="3" fillId="0" borderId="23" xfId="0" applyFont="1" applyBorder="1" applyAlignment="1">
      <alignment wrapText="1"/>
    </xf>
    <xf numFmtId="166" fontId="3" fillId="0" borderId="24" xfId="0" applyNumberFormat="1" applyFont="1" applyBorder="1" applyAlignment="1">
      <alignment horizontal="right"/>
    </xf>
    <xf numFmtId="0" fontId="3" fillId="0" borderId="25" xfId="0" applyFont="1" applyBorder="1" applyAlignment="1">
      <alignment wrapText="1"/>
    </xf>
    <xf numFmtId="164" fontId="3" fillId="0" borderId="26" xfId="0" applyNumberFormat="1" applyFont="1" applyBorder="1" applyAlignment="1">
      <alignment horizontal="right" vertical="center"/>
    </xf>
    <xf numFmtId="0" fontId="3" fillId="0" borderId="0" xfId="0" applyFont="1" applyFill="1"/>
    <xf numFmtId="0" fontId="3" fillId="0" borderId="0" xfId="0" applyFont="1" applyFill="1" applyBorder="1"/>
    <xf numFmtId="6" fontId="3" fillId="0" borderId="22" xfId="0" applyNumberFormat="1" applyFont="1" applyBorder="1"/>
    <xf numFmtId="0" fontId="3" fillId="0" borderId="23" xfId="0" applyFont="1" applyBorder="1"/>
    <xf numFmtId="6" fontId="3" fillId="0" borderId="24" xfId="0" applyNumberFormat="1" applyFont="1" applyBorder="1"/>
    <xf numFmtId="6" fontId="3" fillId="0" borderId="0" xfId="0" applyNumberFormat="1" applyFont="1"/>
    <xf numFmtId="0" fontId="3" fillId="0" borderId="25" xfId="0" applyFont="1" applyFill="1" applyBorder="1"/>
    <xf numFmtId="165" fontId="3" fillId="0" borderId="26" xfId="0" applyNumberFormat="1" applyFont="1" applyBorder="1"/>
    <xf numFmtId="164" fontId="3" fillId="0" borderId="12" xfId="0" applyNumberFormat="1" applyFont="1" applyBorder="1" applyAlignment="1">
      <alignment horizontal="center"/>
    </xf>
    <xf numFmtId="0" fontId="6" fillId="0" borderId="1" xfId="0" applyFont="1" applyBorder="1"/>
    <xf numFmtId="0" fontId="3" fillId="0" borderId="12" xfId="0" applyFont="1" applyFill="1" applyBorder="1" applyAlignment="1">
      <alignment wrapText="1"/>
    </xf>
    <xf numFmtId="0" fontId="3" fillId="0" borderId="12" xfId="0" applyFont="1" applyFill="1" applyBorder="1" applyAlignment="1">
      <alignment horizontal="right" wrapText="1"/>
    </xf>
    <xf numFmtId="0" fontId="3" fillId="0" borderId="12" xfId="0" applyFont="1" applyBorder="1" applyAlignment="1">
      <alignment horizontal="left" wrapText="1"/>
    </xf>
    <xf numFmtId="0" fontId="3" fillId="0" borderId="12" xfId="0" applyFont="1" applyFill="1" applyBorder="1" applyAlignment="1">
      <alignment horizontal="left" vertical="top" wrapText="1"/>
    </xf>
    <xf numFmtId="164" fontId="3" fillId="0" borderId="12" xfId="0" applyNumberFormat="1" applyFont="1" applyFill="1" applyBorder="1" applyAlignment="1">
      <alignment horizontal="center"/>
    </xf>
    <xf numFmtId="0" fontId="3" fillId="0" borderId="12" xfId="0" applyFont="1" applyFill="1" applyBorder="1" applyAlignment="1">
      <alignment horizontal="left"/>
    </xf>
    <xf numFmtId="0" fontId="3" fillId="0" borderId="12" xfId="0" applyFont="1" applyFill="1" applyBorder="1" applyAlignment="1">
      <alignment horizontal="left" wrapText="1"/>
    </xf>
    <xf numFmtId="164" fontId="3" fillId="0" borderId="0" xfId="0" applyNumberFormat="1" applyFont="1" applyFill="1"/>
    <xf numFmtId="0" fontId="20" fillId="2" borderId="0" xfId="0" applyFont="1" applyFill="1" applyAlignment="1">
      <alignment horizontal="left" vertical="top" wrapText="1"/>
    </xf>
    <xf numFmtId="0" fontId="20" fillId="0" borderId="0" xfId="0" applyFont="1"/>
    <xf numFmtId="0" fontId="7" fillId="2" borderId="0" xfId="0" applyFont="1" applyFill="1" applyAlignment="1">
      <alignment vertical="center"/>
    </xf>
    <xf numFmtId="0" fontId="20" fillId="2" borderId="0" xfId="0" applyFont="1" applyFill="1" applyAlignment="1">
      <alignment horizontal="left" vertical="center" wrapText="1"/>
    </xf>
    <xf numFmtId="0" fontId="20" fillId="0" borderId="0" xfId="0" applyFont="1" applyAlignment="1">
      <alignment vertical="center"/>
    </xf>
    <xf numFmtId="0" fontId="6" fillId="0" borderId="0" xfId="0" applyFont="1" applyAlignment="1">
      <alignment horizontal="center"/>
    </xf>
    <xf numFmtId="0" fontId="6" fillId="0" borderId="0" xfId="0" applyFont="1" applyFill="1" applyBorder="1" applyAlignment="1"/>
    <xf numFmtId="0" fontId="6" fillId="0" borderId="0" xfId="0" applyFont="1" applyFill="1" applyBorder="1" applyAlignment="1">
      <alignment horizontal="left" vertical="center"/>
    </xf>
    <xf numFmtId="0" fontId="3" fillId="0" borderId="0" xfId="0" applyFont="1" applyAlignment="1">
      <alignment vertical="top" wrapText="1"/>
    </xf>
    <xf numFmtId="0" fontId="3" fillId="0" borderId="0" xfId="0" applyFont="1" applyBorder="1" applyAlignment="1">
      <alignment horizontal="center"/>
    </xf>
    <xf numFmtId="0" fontId="3" fillId="0" borderId="0" xfId="0" applyFont="1" applyFill="1" applyAlignment="1">
      <alignment horizontal="center"/>
    </xf>
    <xf numFmtId="0" fontId="3" fillId="0" borderId="4" xfId="0" applyFont="1" applyBorder="1"/>
    <xf numFmtId="0" fontId="3" fillId="0" borderId="6" xfId="0" applyFont="1" applyBorder="1"/>
    <xf numFmtId="0" fontId="3" fillId="0" borderId="7" xfId="0" applyFont="1" applyBorder="1"/>
    <xf numFmtId="0" fontId="3" fillId="0" borderId="10" xfId="0" applyFont="1" applyFill="1" applyBorder="1"/>
    <xf numFmtId="0" fontId="3" fillId="0" borderId="11" xfId="0" applyFont="1" applyFill="1" applyBorder="1"/>
    <xf numFmtId="164" fontId="3" fillId="0" borderId="11" xfId="0" applyNumberFormat="1" applyFont="1" applyFill="1" applyBorder="1"/>
    <xf numFmtId="0" fontId="3" fillId="0" borderId="10" xfId="0" applyFont="1" applyFill="1" applyBorder="1" applyAlignment="1">
      <alignment horizontal="left" wrapText="1"/>
    </xf>
    <xf numFmtId="0" fontId="3" fillId="0" borderId="10" xfId="0" applyFont="1" applyFill="1" applyBorder="1" applyAlignment="1">
      <alignment vertical="top" wrapText="1"/>
    </xf>
    <xf numFmtId="164" fontId="3" fillId="0" borderId="0" xfId="0" applyNumberFormat="1" applyFont="1" applyBorder="1"/>
    <xf numFmtId="0" fontId="3" fillId="0" borderId="10" xfId="0" applyFont="1" applyBorder="1" applyAlignment="1">
      <alignment horizontal="left" wrapText="1"/>
    </xf>
    <xf numFmtId="0" fontId="3" fillId="0" borderId="10" xfId="0" applyFont="1" applyBorder="1" applyAlignment="1">
      <alignment vertical="top" wrapText="1"/>
    </xf>
    <xf numFmtId="0" fontId="3" fillId="0" borderId="10" xfId="0" applyFont="1" applyBorder="1"/>
    <xf numFmtId="0" fontId="3" fillId="0" borderId="11" xfId="0" applyFont="1" applyBorder="1"/>
    <xf numFmtId="0" fontId="3" fillId="0" borderId="3" xfId="0" applyFont="1" applyBorder="1"/>
    <xf numFmtId="0" fontId="6" fillId="0" borderId="4" xfId="0" applyFont="1" applyBorder="1" applyAlignment="1">
      <alignment horizontal="right"/>
    </xf>
    <xf numFmtId="0" fontId="6" fillId="0" borderId="4" xfId="0" applyFont="1" applyBorder="1"/>
    <xf numFmtId="0" fontId="6" fillId="0" borderId="3" xfId="0" applyFont="1" applyBorder="1" applyAlignment="1">
      <alignment horizontal="right"/>
    </xf>
    <xf numFmtId="0" fontId="6" fillId="0" borderId="3" xfId="0" applyFont="1" applyBorder="1"/>
    <xf numFmtId="0" fontId="6" fillId="0" borderId="9" xfId="0" applyFont="1" applyBorder="1"/>
    <xf numFmtId="0" fontId="6" fillId="0" borderId="5" xfId="0" applyFont="1" applyBorder="1"/>
    <xf numFmtId="164" fontId="3" fillId="0" borderId="0" xfId="1" applyNumberFormat="1" applyFont="1" applyFill="1" applyBorder="1"/>
    <xf numFmtId="0" fontId="12" fillId="0" borderId="0" xfId="0" applyFont="1" applyFill="1" applyBorder="1"/>
    <xf numFmtId="164" fontId="12" fillId="0" borderId="0" xfId="1" applyNumberFormat="1" applyFont="1" applyFill="1" applyBorder="1"/>
    <xf numFmtId="164" fontId="12" fillId="0" borderId="11" xfId="0" applyNumberFormat="1" applyFont="1" applyFill="1" applyBorder="1"/>
    <xf numFmtId="0" fontId="22" fillId="0" borderId="0" xfId="0" applyFont="1" applyFill="1" applyBorder="1"/>
    <xf numFmtId="164" fontId="12" fillId="0" borderId="0" xfId="0" applyNumberFormat="1" applyFont="1" applyFill="1" applyBorder="1"/>
    <xf numFmtId="0" fontId="3" fillId="0" borderId="0" xfId="0" applyFont="1" applyFill="1" applyBorder="1" applyAlignment="1">
      <alignment wrapText="1"/>
    </xf>
    <xf numFmtId="0" fontId="6" fillId="0" borderId="0" xfId="0" applyFont="1" applyBorder="1" applyAlignment="1">
      <alignment wrapText="1"/>
    </xf>
    <xf numFmtId="164" fontId="3" fillId="0" borderId="9" xfId="0" applyNumberFormat="1" applyFont="1" applyFill="1" applyBorder="1"/>
    <xf numFmtId="164" fontId="3" fillId="0" borderId="4" xfId="0" applyNumberFormat="1" applyFont="1" applyBorder="1"/>
    <xf numFmtId="0" fontId="6" fillId="0" borderId="10" xfId="0" applyFont="1" applyBorder="1"/>
    <xf numFmtId="0" fontId="22" fillId="0" borderId="0" xfId="0" applyFont="1" applyBorder="1"/>
    <xf numFmtId="0" fontId="9" fillId="0" borderId="0" xfId="0" applyFont="1" applyBorder="1" applyAlignment="1">
      <alignment wrapText="1"/>
    </xf>
    <xf numFmtId="164" fontId="3" fillId="0" borderId="11" xfId="0" applyNumberFormat="1" applyFont="1" applyBorder="1" applyAlignment="1">
      <alignment horizontal="right" indent="1"/>
    </xf>
    <xf numFmtId="0" fontId="3" fillId="0" borderId="8" xfId="0" applyFont="1" applyBorder="1"/>
    <xf numFmtId="0" fontId="3" fillId="0" borderId="9" xfId="0" applyFont="1" applyBorder="1"/>
    <xf numFmtId="0" fontId="6" fillId="0" borderId="0" xfId="0" applyFont="1" applyAlignment="1"/>
    <xf numFmtId="0" fontId="3" fillId="0" borderId="0" xfId="0" applyFont="1" applyFill="1" applyBorder="1" applyAlignment="1">
      <alignment horizontal="left"/>
    </xf>
    <xf numFmtId="164" fontId="3" fillId="0" borderId="11" xfId="0" applyNumberFormat="1" applyFont="1" applyFill="1" applyBorder="1" applyAlignment="1">
      <alignment horizontal="right" indent="1"/>
    </xf>
    <xf numFmtId="0" fontId="6" fillId="0" borderId="0" xfId="0" applyFont="1" applyFill="1" applyAlignment="1"/>
    <xf numFmtId="0" fontId="3" fillId="0" borderId="0" xfId="0" applyFont="1" applyFill="1" applyAlignment="1">
      <alignment horizontal="left"/>
    </xf>
    <xf numFmtId="0" fontId="21" fillId="0" borderId="10" xfId="0" applyFont="1" applyBorder="1"/>
    <xf numFmtId="2" fontId="3" fillId="0" borderId="0" xfId="0" applyNumberFormat="1" applyFont="1" applyBorder="1"/>
    <xf numFmtId="2" fontId="3" fillId="0" borderId="11" xfId="0" applyNumberFormat="1" applyFont="1" applyBorder="1"/>
    <xf numFmtId="0" fontId="21" fillId="0" borderId="10" xfId="0" applyFont="1" applyBorder="1" applyAlignment="1">
      <alignment wrapText="1"/>
    </xf>
    <xf numFmtId="0" fontId="12" fillId="0" borderId="0" xfId="0" applyFont="1" applyFill="1"/>
    <xf numFmtId="0" fontId="6" fillId="0" borderId="6" xfId="0" applyFont="1" applyBorder="1"/>
    <xf numFmtId="0" fontId="9" fillId="0" borderId="0" xfId="0" applyFont="1" applyBorder="1" applyAlignment="1"/>
    <xf numFmtId="0" fontId="23" fillId="0" borderId="0" xfId="0" applyFont="1"/>
    <xf numFmtId="0" fontId="3" fillId="0" borderId="6" xfId="0" applyFont="1" applyFill="1" applyBorder="1"/>
    <xf numFmtId="0" fontId="3" fillId="0" borderId="30" xfId="0" applyFont="1" applyFill="1" applyBorder="1"/>
    <xf numFmtId="0" fontId="3" fillId="0" borderId="31" xfId="0" applyFont="1" applyFill="1" applyBorder="1"/>
    <xf numFmtId="164" fontId="3" fillId="0" borderId="31" xfId="0" applyNumberFormat="1" applyFont="1" applyFill="1" applyBorder="1"/>
    <xf numFmtId="164" fontId="12" fillId="0" borderId="31" xfId="0" applyNumberFormat="1" applyFont="1" applyFill="1" applyBorder="1"/>
    <xf numFmtId="164" fontId="6" fillId="0" borderId="31" xfId="0" applyNumberFormat="1" applyFont="1" applyFill="1" applyBorder="1"/>
    <xf numFmtId="164" fontId="6" fillId="0" borderId="32" xfId="0" applyNumberFormat="1" applyFont="1" applyFill="1" applyBorder="1"/>
    <xf numFmtId="164" fontId="3" fillId="0" borderId="31" xfId="1" applyNumberFormat="1" applyFont="1" applyFill="1" applyBorder="1"/>
    <xf numFmtId="0" fontId="3" fillId="0" borderId="32" xfId="0" applyFont="1" applyFill="1" applyBorder="1"/>
    <xf numFmtId="2" fontId="3" fillId="0" borderId="31" xfId="0" applyNumberFormat="1" applyFont="1" applyFill="1" applyBorder="1"/>
    <xf numFmtId="164" fontId="6" fillId="0" borderId="30" xfId="0" applyNumberFormat="1" applyFont="1" applyFill="1" applyBorder="1"/>
    <xf numFmtId="0" fontId="3" fillId="0" borderId="4" xfId="0" applyFont="1" applyFill="1" applyBorder="1"/>
    <xf numFmtId="0" fontId="3" fillId="0" borderId="3" xfId="0" applyFont="1" applyFill="1" applyBorder="1"/>
    <xf numFmtId="0" fontId="6" fillId="0" borderId="12" xfId="0" applyFont="1" applyBorder="1" applyAlignment="1">
      <alignment horizontal="left" vertical="top" wrapText="1"/>
    </xf>
    <xf numFmtId="0" fontId="8" fillId="0" borderId="0" xfId="0" applyFont="1" applyBorder="1" applyAlignment="1">
      <alignment horizontal="left" wrapText="1"/>
    </xf>
    <xf numFmtId="0" fontId="8" fillId="0" borderId="0" xfId="0" applyFont="1" applyFill="1" applyBorder="1" applyAlignment="1">
      <alignment wrapText="1"/>
    </xf>
    <xf numFmtId="0" fontId="23" fillId="0" borderId="0" xfId="0" applyFont="1" applyAlignment="1"/>
    <xf numFmtId="0" fontId="3" fillId="0" borderId="0" xfId="0" applyFont="1" applyFill="1" applyAlignment="1"/>
    <xf numFmtId="0" fontId="23" fillId="0" borderId="0" xfId="0" applyFont="1" applyFill="1" applyAlignment="1"/>
    <xf numFmtId="0" fontId="23" fillId="0" borderId="0" xfId="0" applyFont="1" applyBorder="1"/>
    <xf numFmtId="0" fontId="23" fillId="0" borderId="0" xfId="0" applyFont="1" applyFill="1" applyBorder="1"/>
    <xf numFmtId="0" fontId="3" fillId="0" borderId="0" xfId="0" applyFont="1" applyBorder="1" applyAlignment="1">
      <alignment vertical="center"/>
    </xf>
    <xf numFmtId="0" fontId="3" fillId="0" borderId="4" xfId="0" applyFont="1" applyBorder="1" applyAlignment="1">
      <alignment wrapText="1"/>
    </xf>
    <xf numFmtId="0" fontId="3" fillId="0" borderId="10" xfId="0" applyFont="1" applyFill="1" applyBorder="1" applyAlignment="1">
      <alignment wrapText="1"/>
    </xf>
    <xf numFmtId="0" fontId="6" fillId="0" borderId="8" xfId="0" applyFont="1" applyFill="1" applyBorder="1" applyAlignment="1"/>
    <xf numFmtId="0" fontId="3" fillId="0" borderId="33" xfId="0" applyFont="1" applyBorder="1"/>
    <xf numFmtId="0" fontId="3" fillId="0" borderId="34" xfId="0" applyFont="1" applyBorder="1"/>
    <xf numFmtId="166" fontId="3" fillId="0" borderId="12" xfId="0" applyNumberFormat="1" applyFont="1" applyBorder="1" applyAlignment="1">
      <alignment horizontal="center" vertical="center"/>
    </xf>
    <xf numFmtId="164" fontId="3" fillId="0" borderId="0" xfId="0" applyNumberFormat="1" applyFont="1" applyBorder="1" applyAlignment="1">
      <alignment horizontal="center"/>
    </xf>
    <xf numFmtId="0" fontId="10" fillId="0" borderId="16" xfId="0" applyFont="1" applyFill="1" applyBorder="1" applyAlignment="1" applyProtection="1">
      <alignment vertical="center" wrapText="1"/>
    </xf>
    <xf numFmtId="0" fontId="8" fillId="0" borderId="19" xfId="0" applyFont="1" applyBorder="1"/>
    <xf numFmtId="0" fontId="6" fillId="2" borderId="12" xfId="0" applyFont="1" applyFill="1" applyBorder="1" applyAlignment="1"/>
    <xf numFmtId="0" fontId="3" fillId="2" borderId="12" xfId="0" applyFont="1" applyFill="1" applyBorder="1" applyAlignment="1"/>
    <xf numFmtId="0" fontId="6" fillId="2" borderId="12" xfId="0" applyFont="1" applyFill="1" applyBorder="1" applyAlignment="1">
      <alignment horizontal="center" wrapText="1"/>
    </xf>
    <xf numFmtId="0" fontId="6" fillId="2" borderId="12" xfId="0" applyFont="1" applyFill="1" applyBorder="1" applyAlignment="1">
      <alignment horizontal="left" wrapText="1"/>
    </xf>
    <xf numFmtId="0" fontId="10" fillId="0" borderId="12" xfId="0" applyFont="1" applyFill="1" applyBorder="1" applyAlignment="1" applyProtection="1">
      <alignment vertical="center" wrapText="1"/>
    </xf>
    <xf numFmtId="0" fontId="3" fillId="0" borderId="12" xfId="0" applyFont="1" applyFill="1" applyBorder="1"/>
    <xf numFmtId="0" fontId="3" fillId="0" borderId="19" xfId="0" applyFont="1" applyBorder="1"/>
    <xf numFmtId="0" fontId="9" fillId="0" borderId="12" xfId="0" applyFont="1" applyBorder="1" applyAlignment="1">
      <alignment horizontal="center"/>
    </xf>
    <xf numFmtId="0" fontId="3" fillId="0" borderId="0" xfId="0" applyFont="1" applyFill="1" applyAlignment="1">
      <alignment wrapText="1"/>
    </xf>
    <xf numFmtId="0" fontId="3" fillId="0" borderId="1" xfId="0" applyFont="1" applyBorder="1" applyAlignment="1">
      <alignment horizontal="left" vertical="top" wrapText="1"/>
    </xf>
    <xf numFmtId="164" fontId="3" fillId="0" borderId="0" xfId="0" applyNumberFormat="1" applyFont="1" applyBorder="1" applyAlignment="1">
      <alignment horizontal="center" vertical="center"/>
    </xf>
    <xf numFmtId="0" fontId="3" fillId="0" borderId="13" xfId="0" applyFont="1" applyBorder="1" applyAlignment="1">
      <alignment vertical="top" wrapText="1"/>
    </xf>
    <xf numFmtId="0" fontId="3" fillId="0" borderId="12" xfId="0" applyFont="1" applyBorder="1" applyAlignment="1">
      <alignment vertical="top" wrapText="1"/>
    </xf>
    <xf numFmtId="0" fontId="3" fillId="0" borderId="15" xfId="0" applyFont="1" applyBorder="1" applyAlignment="1">
      <alignment vertical="top" wrapText="1"/>
    </xf>
    <xf numFmtId="0" fontId="9" fillId="0" borderId="12" xfId="0" applyFont="1" applyFill="1" applyBorder="1" applyAlignment="1">
      <alignment horizontal="left" vertical="top" wrapText="1"/>
    </xf>
    <xf numFmtId="0" fontId="3" fillId="0" borderId="12" xfId="0" applyFont="1" applyFill="1" applyBorder="1" applyAlignment="1">
      <alignment horizontal="left" vertical="top" wrapText="1"/>
    </xf>
    <xf numFmtId="0" fontId="10" fillId="0" borderId="20" xfId="0" applyFont="1" applyFill="1" applyBorder="1" applyAlignment="1" applyProtection="1">
      <alignment vertical="center" wrapText="1"/>
    </xf>
    <xf numFmtId="0" fontId="9" fillId="0" borderId="0" xfId="0" applyFont="1" applyFill="1" applyBorder="1" applyAlignment="1">
      <alignment wrapText="1"/>
    </xf>
    <xf numFmtId="0" fontId="9" fillId="0" borderId="0" xfId="0" applyFont="1" applyFill="1" applyBorder="1" applyAlignment="1">
      <alignment horizontal="center" wrapText="1"/>
    </xf>
    <xf numFmtId="0" fontId="3" fillId="0" borderId="0" xfId="0" applyFont="1" applyBorder="1" applyAlignment="1">
      <alignment horizontal="left" vertical="top" wrapText="1"/>
    </xf>
    <xf numFmtId="0" fontId="3" fillId="0" borderId="12" xfId="0" applyFont="1" applyBorder="1" applyAlignment="1">
      <alignment horizontal="left" vertical="center" wrapText="1"/>
    </xf>
    <xf numFmtId="0" fontId="3" fillId="0" borderId="12"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12" xfId="0" applyFont="1" applyBorder="1" applyAlignment="1">
      <alignment horizontal="center" wrapText="1"/>
    </xf>
    <xf numFmtId="0" fontId="3" fillId="0" borderId="0" xfId="0" applyFont="1" applyFill="1" applyBorder="1" applyAlignment="1">
      <alignment horizontal="left" wrapText="1"/>
    </xf>
    <xf numFmtId="166" fontId="3" fillId="0" borderId="12" xfId="0" applyNumberFormat="1" applyFont="1" applyFill="1" applyBorder="1" applyAlignment="1">
      <alignment horizontal="center"/>
    </xf>
    <xf numFmtId="9" fontId="3" fillId="0" borderId="12" xfId="0" applyNumberFormat="1" applyFont="1" applyBorder="1" applyAlignment="1">
      <alignment horizontal="right"/>
    </xf>
    <xf numFmtId="9" fontId="3" fillId="0" borderId="12" xfId="0" applyNumberFormat="1" applyFont="1" applyFill="1" applyBorder="1" applyAlignment="1">
      <alignment horizontal="right" vertical="center"/>
    </xf>
    <xf numFmtId="0" fontId="3" fillId="0" borderId="0" xfId="0" applyFont="1" applyBorder="1" applyAlignment="1">
      <alignment wrapText="1"/>
    </xf>
    <xf numFmtId="9" fontId="3" fillId="0" borderId="0" xfId="0" applyNumberFormat="1" applyFont="1" applyFill="1" applyBorder="1" applyAlignment="1">
      <alignment horizontal="right" vertical="center"/>
    </xf>
    <xf numFmtId="0" fontId="3" fillId="0" borderId="12" xfId="0" applyFont="1" applyBorder="1" applyAlignment="1"/>
    <xf numFmtId="164" fontId="3" fillId="0" borderId="12" xfId="0" applyNumberFormat="1" applyFont="1" applyBorder="1"/>
    <xf numFmtId="9" fontId="3" fillId="0" borderId="12" xfId="0" applyNumberFormat="1" applyFont="1" applyBorder="1" applyAlignment="1">
      <alignment vertical="center"/>
    </xf>
    <xf numFmtId="0" fontId="3" fillId="0" borderId="12" xfId="0" applyFont="1" applyBorder="1" applyAlignment="1">
      <alignment wrapText="1"/>
    </xf>
    <xf numFmtId="164" fontId="3" fillId="0" borderId="12" xfId="0" applyNumberFormat="1" applyFont="1" applyFill="1" applyBorder="1" applyAlignment="1">
      <alignment vertical="center"/>
    </xf>
    <xf numFmtId="0" fontId="3" fillId="0" borderId="12" xfId="0" applyFont="1" applyFill="1" applyBorder="1" applyAlignment="1"/>
    <xf numFmtId="9" fontId="3" fillId="0" borderId="12" xfId="0" applyNumberFormat="1" applyFont="1" applyBorder="1"/>
    <xf numFmtId="0" fontId="23" fillId="0" borderId="12" xfId="0" applyFont="1" applyBorder="1"/>
    <xf numFmtId="0" fontId="24" fillId="0" borderId="0" xfId="0" applyFont="1"/>
    <xf numFmtId="164" fontId="3" fillId="0" borderId="0" xfId="0" applyNumberFormat="1" applyFont="1" applyBorder="1" applyAlignment="1">
      <alignment horizontal="left" vertical="center" wrapText="1"/>
    </xf>
    <xf numFmtId="0" fontId="6" fillId="0" borderId="19" xfId="0" applyFont="1" applyBorder="1" applyAlignment="1"/>
    <xf numFmtId="0" fontId="6" fillId="0" borderId="19" xfId="0" applyFont="1" applyBorder="1" applyAlignment="1">
      <alignment horizontal="left"/>
    </xf>
    <xf numFmtId="0" fontId="6" fillId="0" borderId="0" xfId="0" applyFont="1" applyAlignment="1">
      <alignment horizontal="left"/>
    </xf>
    <xf numFmtId="0" fontId="6" fillId="0" borderId="0" xfId="0" applyFont="1" applyFill="1" applyBorder="1" applyAlignment="1">
      <alignment horizontal="center" vertical="center"/>
    </xf>
    <xf numFmtId="0" fontId="6" fillId="0" borderId="0" xfId="0" applyFont="1" applyAlignment="1">
      <alignment horizontal="center" vertical="center"/>
    </xf>
    <xf numFmtId="0" fontId="6" fillId="0" borderId="0" xfId="0" applyFont="1" applyFill="1" applyAlignment="1">
      <alignment horizontal="center"/>
    </xf>
    <xf numFmtId="0" fontId="6" fillId="0" borderId="0" xfId="0" applyFont="1" applyFill="1" applyAlignment="1">
      <alignment horizontal="left" vertical="top" wrapText="1"/>
    </xf>
    <xf numFmtId="0" fontId="3" fillId="0" borderId="0" xfId="0" applyFont="1" applyFill="1" applyAlignment="1">
      <alignment horizontal="left" vertical="top" wrapText="1"/>
    </xf>
    <xf numFmtId="0" fontId="6" fillId="0" borderId="4" xfId="0" applyFont="1" applyFill="1" applyBorder="1" applyAlignment="1">
      <alignment horizontal="right"/>
    </xf>
    <xf numFmtId="0" fontId="6" fillId="0" borderId="4" xfId="0" applyFont="1" applyFill="1" applyBorder="1"/>
    <xf numFmtId="0" fontId="6" fillId="0" borderId="3" xfId="0" applyFont="1" applyFill="1" applyBorder="1" applyAlignment="1">
      <alignment horizontal="right"/>
    </xf>
    <xf numFmtId="0" fontId="6" fillId="0" borderId="3" xfId="0" applyFont="1" applyFill="1" applyBorder="1"/>
    <xf numFmtId="0" fontId="6" fillId="0" borderId="0" xfId="0" applyFont="1" applyFill="1" applyBorder="1" applyAlignment="1">
      <alignment wrapText="1"/>
    </xf>
    <xf numFmtId="164" fontId="3" fillId="0" borderId="4" xfId="0" applyNumberFormat="1" applyFont="1" applyFill="1" applyBorder="1"/>
    <xf numFmtId="164" fontId="3" fillId="0" borderId="7" xfId="0" applyNumberFormat="1" applyFont="1" applyFill="1" applyBorder="1"/>
    <xf numFmtId="0" fontId="6" fillId="0" borderId="10" xfId="0" applyFont="1" applyFill="1" applyBorder="1"/>
    <xf numFmtId="0" fontId="6" fillId="7" borderId="0" xfId="0" applyFont="1" applyFill="1"/>
    <xf numFmtId="164" fontId="3" fillId="0" borderId="3" xfId="0" applyNumberFormat="1" applyFont="1" applyFill="1" applyBorder="1"/>
    <xf numFmtId="0" fontId="3" fillId="0" borderId="3" xfId="0" applyFont="1" applyFill="1" applyBorder="1" applyAlignment="1">
      <alignment wrapText="1"/>
    </xf>
    <xf numFmtId="2" fontId="3" fillId="0" borderId="0" xfId="0" applyNumberFormat="1" applyFont="1" applyFill="1" applyBorder="1"/>
    <xf numFmtId="0" fontId="12" fillId="0" borderId="10" xfId="0" applyFont="1" applyFill="1" applyBorder="1"/>
    <xf numFmtId="0" fontId="3" fillId="0" borderId="10" xfId="0" applyFont="1" applyFill="1" applyBorder="1" applyAlignment="1">
      <alignment horizontal="left"/>
    </xf>
    <xf numFmtId="0" fontId="3" fillId="6" borderId="0" xfId="0" applyFont="1" applyFill="1" applyAlignment="1">
      <alignment horizontal="left" vertical="top" wrapText="1"/>
    </xf>
    <xf numFmtId="0" fontId="3" fillId="6" borderId="0" xfId="0" applyFont="1" applyFill="1" applyAlignment="1">
      <alignment vertical="top" wrapText="1"/>
    </xf>
    <xf numFmtId="0" fontId="6" fillId="0" borderId="6" xfId="0" applyFont="1" applyFill="1" applyBorder="1" applyAlignment="1">
      <alignment horizontal="right"/>
    </xf>
    <xf numFmtId="0" fontId="6" fillId="0" borderId="8" xfId="0" applyFont="1" applyFill="1" applyBorder="1" applyAlignment="1">
      <alignment horizontal="right"/>
    </xf>
    <xf numFmtId="0" fontId="6" fillId="0" borderId="6" xfId="0" applyFont="1" applyFill="1" applyBorder="1"/>
    <xf numFmtId="0" fontId="22" fillId="0" borderId="10" xfId="0" applyFont="1" applyFill="1" applyBorder="1"/>
    <xf numFmtId="0" fontId="8" fillId="0" borderId="10" xfId="0" applyFont="1" applyFill="1" applyBorder="1"/>
    <xf numFmtId="0" fontId="3" fillId="0" borderId="0" xfId="0" applyFont="1" applyFill="1" applyAlignment="1">
      <alignment vertical="top" wrapText="1"/>
    </xf>
    <xf numFmtId="164" fontId="3" fillId="0" borderId="0" xfId="0" applyNumberFormat="1" applyFont="1"/>
    <xf numFmtId="0" fontId="6" fillId="0" borderId="5" xfId="0" applyFont="1" applyFill="1" applyBorder="1"/>
    <xf numFmtId="0" fontId="10" fillId="0" borderId="0" xfId="0" applyFont="1" applyFill="1" applyBorder="1" applyAlignment="1" applyProtection="1">
      <alignment vertical="center"/>
    </xf>
    <xf numFmtId="0" fontId="3" fillId="6" borderId="0" xfId="0" applyFont="1" applyFill="1" applyBorder="1" applyAlignment="1">
      <alignment horizontal="left" vertical="center" wrapText="1"/>
    </xf>
    <xf numFmtId="0" fontId="3" fillId="2" borderId="0" xfId="0" applyFont="1" applyFill="1"/>
    <xf numFmtId="164" fontId="6" fillId="0" borderId="11" xfId="0" applyNumberFormat="1" applyFont="1" applyBorder="1" applyAlignment="1">
      <alignment horizontal="right" indent="1"/>
    </xf>
    <xf numFmtId="164" fontId="3" fillId="7" borderId="0" xfId="0" applyNumberFormat="1" applyFont="1" applyFill="1" applyBorder="1"/>
    <xf numFmtId="164" fontId="3" fillId="7" borderId="11" xfId="0" applyNumberFormat="1" applyFont="1" applyFill="1" applyBorder="1"/>
    <xf numFmtId="0" fontId="3" fillId="7" borderId="0" xfId="0" applyFont="1" applyFill="1" applyBorder="1" applyAlignment="1">
      <alignment wrapText="1"/>
    </xf>
    <xf numFmtId="0" fontId="3" fillId="0" borderId="30" xfId="0" applyFont="1" applyBorder="1"/>
    <xf numFmtId="164" fontId="3" fillId="0" borderId="31" xfId="0" applyNumberFormat="1" applyFont="1" applyBorder="1"/>
    <xf numFmtId="164" fontId="6" fillId="0" borderId="31" xfId="0" applyNumberFormat="1" applyFont="1" applyBorder="1"/>
    <xf numFmtId="164" fontId="3" fillId="7" borderId="31" xfId="0" applyNumberFormat="1" applyFont="1" applyFill="1" applyBorder="1"/>
    <xf numFmtId="164" fontId="3" fillId="0" borderId="30" xfId="0" applyNumberFormat="1" applyFont="1" applyBorder="1"/>
    <xf numFmtId="0" fontId="3" fillId="0" borderId="31" xfId="0" applyFont="1" applyBorder="1"/>
    <xf numFmtId="164" fontId="3" fillId="0" borderId="31" xfId="1" applyNumberFormat="1" applyFont="1" applyBorder="1"/>
    <xf numFmtId="0" fontId="3" fillId="0" borderId="32" xfId="0" applyFont="1" applyBorder="1"/>
    <xf numFmtId="0" fontId="7" fillId="6" borderId="0" xfId="0" applyFont="1" applyFill="1" applyBorder="1" applyAlignment="1">
      <alignment vertical="center"/>
    </xf>
    <xf numFmtId="0" fontId="8" fillId="0" borderId="10" xfId="0" applyFont="1" applyBorder="1"/>
    <xf numFmtId="2" fontId="3" fillId="0" borderId="30" xfId="0" applyNumberFormat="1" applyFont="1" applyFill="1" applyBorder="1"/>
    <xf numFmtId="0" fontId="25" fillId="0" borderId="0" xfId="0" applyFont="1" applyFill="1" applyAlignment="1">
      <alignment horizontal="left" vertical="top" wrapText="1"/>
    </xf>
    <xf numFmtId="168" fontId="3" fillId="0" borderId="12" xfId="0" applyNumberFormat="1" applyFont="1" applyFill="1" applyBorder="1" applyAlignment="1">
      <alignment horizontal="left" vertical="top" wrapText="1"/>
    </xf>
    <xf numFmtId="0" fontId="9" fillId="0" borderId="0" xfId="0" applyFont="1"/>
    <xf numFmtId="0" fontId="24" fillId="0" borderId="0" xfId="0" applyFont="1" applyBorder="1"/>
    <xf numFmtId="0" fontId="6" fillId="0" borderId="0" xfId="0" applyFont="1" applyBorder="1" applyAlignment="1">
      <alignment vertical="center" wrapText="1"/>
    </xf>
    <xf numFmtId="164" fontId="3" fillId="0" borderId="12" xfId="0" applyNumberFormat="1" applyFont="1" applyFill="1" applyBorder="1" applyAlignment="1">
      <alignment horizontal="center" vertical="center"/>
    </xf>
    <xf numFmtId="164" fontId="6" fillId="0" borderId="12" xfId="0" applyNumberFormat="1" applyFont="1" applyBorder="1" applyAlignment="1">
      <alignment horizontal="right" vertical="center"/>
    </xf>
    <xf numFmtId="1" fontId="3" fillId="0" borderId="12" xfId="1" applyNumberFormat="1" applyFont="1" applyBorder="1"/>
    <xf numFmtId="0" fontId="3" fillId="2" borderId="12" xfId="0" applyFont="1" applyFill="1" applyBorder="1" applyAlignment="1">
      <alignment horizontal="right"/>
    </xf>
    <xf numFmtId="0" fontId="3" fillId="0" borderId="12" xfId="0" applyFont="1" applyBorder="1" applyAlignment="1">
      <alignment horizontal="right" wrapText="1"/>
    </xf>
    <xf numFmtId="0" fontId="3" fillId="0" borderId="12" xfId="0" applyFont="1" applyBorder="1" applyAlignment="1">
      <alignment horizontal="right"/>
    </xf>
    <xf numFmtId="0" fontId="3" fillId="0" borderId="12" xfId="0" applyFont="1" applyFill="1" applyBorder="1" applyAlignment="1">
      <alignment horizontal="right"/>
    </xf>
    <xf numFmtId="0" fontId="3" fillId="4" borderId="0" xfId="0" applyFont="1" applyFill="1" applyAlignment="1">
      <alignment horizontal="left" vertical="top" wrapText="1"/>
    </xf>
    <xf numFmtId="0" fontId="26" fillId="0" borderId="12" xfId="0" applyFont="1" applyFill="1" applyBorder="1" applyAlignment="1">
      <alignment horizontal="left" vertical="top" wrapText="1"/>
    </xf>
    <xf numFmtId="0" fontId="3" fillId="5" borderId="0" xfId="0" applyFont="1" applyFill="1" applyAlignment="1">
      <alignment horizontal="left" vertical="top" wrapText="1"/>
    </xf>
    <xf numFmtId="0" fontId="3" fillId="3" borderId="0" xfId="0" applyFont="1" applyFill="1" applyAlignment="1">
      <alignment horizontal="left" vertical="top" wrapText="1"/>
    </xf>
    <xf numFmtId="0" fontId="26" fillId="0" borderId="0" xfId="0" applyFont="1" applyFill="1" applyAlignment="1">
      <alignment horizontal="left" vertical="top" wrapText="1"/>
    </xf>
    <xf numFmtId="0" fontId="26" fillId="3" borderId="0" xfId="0" applyFont="1" applyFill="1" applyAlignment="1">
      <alignment horizontal="left" vertical="top" wrapText="1"/>
    </xf>
    <xf numFmtId="0" fontId="3" fillId="0" borderId="12" xfId="0" applyFont="1" applyFill="1" applyBorder="1" applyAlignment="1">
      <alignment horizontal="left" vertical="top"/>
    </xf>
    <xf numFmtId="0" fontId="20" fillId="0" borderId="0" xfId="0" applyFont="1" applyFill="1" applyAlignment="1">
      <alignment horizontal="left" vertical="top" wrapText="1"/>
    </xf>
    <xf numFmtId="0" fontId="20" fillId="0" borderId="0" xfId="0" applyFont="1" applyFill="1"/>
    <xf numFmtId="0" fontId="6" fillId="2" borderId="12" xfId="0" applyFont="1" applyFill="1" applyBorder="1" applyAlignment="1">
      <alignment horizontal="left" vertical="top" wrapText="1"/>
    </xf>
    <xf numFmtId="0" fontId="3" fillId="2" borderId="12" xfId="0" applyFont="1" applyFill="1" applyBorder="1" applyAlignment="1">
      <alignment horizontal="left" vertical="top"/>
    </xf>
    <xf numFmtId="0" fontId="6" fillId="2" borderId="12" xfId="0" applyFont="1" applyFill="1" applyBorder="1" applyAlignment="1">
      <alignment horizontal="left" vertical="top"/>
    </xf>
    <xf numFmtId="0" fontId="3" fillId="0" borderId="0" xfId="0" applyFont="1" applyFill="1" applyAlignment="1">
      <alignment horizontal="left" vertical="top" wrapText="1"/>
    </xf>
    <xf numFmtId="0" fontId="3" fillId="0" borderId="12" xfId="0" applyFont="1" applyBorder="1" applyAlignment="1"/>
    <xf numFmtId="0" fontId="3" fillId="0" borderId="12" xfId="0" applyFont="1" applyBorder="1" applyAlignment="1">
      <alignment wrapText="1"/>
    </xf>
    <xf numFmtId="0" fontId="3" fillId="0" borderId="12" xfId="0" applyFont="1" applyFill="1" applyBorder="1" applyAlignment="1">
      <alignment horizontal="left" vertical="top" wrapText="1"/>
    </xf>
    <xf numFmtId="0" fontId="3" fillId="0" borderId="12" xfId="0" applyFont="1" applyBorder="1" applyAlignment="1">
      <alignment horizontal="left" vertical="top" wrapText="1"/>
    </xf>
    <xf numFmtId="0" fontId="3" fillId="0" borderId="0" xfId="0" applyFont="1" applyFill="1" applyBorder="1" applyAlignment="1">
      <alignment wrapText="1"/>
    </xf>
    <xf numFmtId="0" fontId="6" fillId="6" borderId="0" xfId="0" applyFont="1" applyFill="1" applyAlignment="1">
      <alignment horizontal="left" vertical="center" wrapText="1"/>
    </xf>
    <xf numFmtId="0" fontId="6" fillId="2" borderId="0" xfId="0" applyFont="1" applyFill="1" applyAlignment="1">
      <alignment horizontal="left" vertical="center" wrapText="1"/>
    </xf>
    <xf numFmtId="0" fontId="6" fillId="0" borderId="12" xfId="0" applyFont="1" applyFill="1" applyBorder="1" applyAlignment="1">
      <alignment horizontal="right"/>
    </xf>
    <xf numFmtId="0" fontId="6" fillId="0" borderId="12" xfId="0" applyFont="1" applyBorder="1" applyAlignment="1">
      <alignment vertical="top" wrapText="1"/>
    </xf>
    <xf numFmtId="0" fontId="6" fillId="0" borderId="12" xfId="0" applyFont="1" applyFill="1" applyBorder="1"/>
    <xf numFmtId="0" fontId="6" fillId="2" borderId="12" xfId="0" applyFont="1" applyFill="1" applyBorder="1" applyAlignment="1">
      <alignment horizontal="right" wrapText="1"/>
    </xf>
    <xf numFmtId="0" fontId="6" fillId="2" borderId="12" xfId="0" applyFont="1" applyFill="1" applyBorder="1" applyAlignment="1">
      <alignment horizontal="right"/>
    </xf>
    <xf numFmtId="9" fontId="6" fillId="2" borderId="12" xfId="0" applyNumberFormat="1" applyFont="1" applyFill="1" applyBorder="1" applyAlignment="1">
      <alignment wrapText="1"/>
    </xf>
    <xf numFmtId="0" fontId="21" fillId="0" borderId="0" xfId="0" applyFont="1"/>
    <xf numFmtId="0" fontId="21" fillId="0" borderId="0" xfId="0" applyFont="1" applyBorder="1"/>
    <xf numFmtId="167" fontId="3" fillId="0" borderId="0" xfId="0" applyNumberFormat="1" applyFont="1" applyFill="1" applyBorder="1"/>
    <xf numFmtId="167" fontId="3" fillId="0" borderId="0" xfId="0" applyNumberFormat="1" applyFont="1" applyBorder="1"/>
    <xf numFmtId="2" fontId="3" fillId="0" borderId="11" xfId="0" applyNumberFormat="1" applyFont="1" applyFill="1" applyBorder="1"/>
    <xf numFmtId="2" fontId="3" fillId="0" borderId="0" xfId="0" applyNumberFormat="1" applyFont="1"/>
    <xf numFmtId="2" fontId="24" fillId="0" borderId="0" xfId="0" applyNumberFormat="1" applyFont="1" applyBorder="1" applyAlignment="1">
      <alignment horizontal="left" vertical="center" indent="5"/>
    </xf>
    <xf numFmtId="2" fontId="6" fillId="0" borderId="0" xfId="0" applyNumberFormat="1" applyFont="1" applyBorder="1"/>
    <xf numFmtId="2" fontId="6" fillId="0" borderId="0" xfId="0" applyNumberFormat="1" applyFont="1" applyFill="1" applyBorder="1"/>
    <xf numFmtId="0" fontId="3" fillId="0" borderId="0" xfId="0" applyFont="1" applyBorder="1" applyAlignment="1">
      <alignment horizontal="left" wrapText="1"/>
    </xf>
    <xf numFmtId="167" fontId="3" fillId="0" borderId="0" xfId="0" applyNumberFormat="1" applyFont="1" applyAlignment="1"/>
    <xf numFmtId="167" fontId="3" fillId="0" borderId="0" xfId="0" applyNumberFormat="1" applyFont="1"/>
    <xf numFmtId="0" fontId="20" fillId="2" borderId="0" xfId="0" applyFont="1" applyFill="1" applyAlignment="1">
      <alignment vertical="center"/>
    </xf>
    <xf numFmtId="0" fontId="6" fillId="0" borderId="12" xfId="0" applyFont="1" applyBorder="1" applyAlignment="1">
      <alignment horizontal="right"/>
    </xf>
    <xf numFmtId="0" fontId="8" fillId="0" borderId="0" xfId="0" applyFont="1" applyAlignment="1">
      <alignment wrapText="1"/>
    </xf>
    <xf numFmtId="0" fontId="6" fillId="0" borderId="35" xfId="0" applyFont="1" applyBorder="1"/>
    <xf numFmtId="2" fontId="6" fillId="0" borderId="1" xfId="0" applyNumberFormat="1" applyFont="1" applyFill="1" applyBorder="1"/>
    <xf numFmtId="2" fontId="6" fillId="0" borderId="3" xfId="0" applyNumberFormat="1" applyFont="1" applyBorder="1"/>
    <xf numFmtId="2" fontId="6" fillId="0" borderId="9" xfId="0" applyNumberFormat="1" applyFont="1" applyBorder="1"/>
    <xf numFmtId="2" fontId="6" fillId="0" borderId="31" xfId="0" applyNumberFormat="1" applyFont="1" applyFill="1" applyBorder="1"/>
    <xf numFmtId="0" fontId="6" fillId="0" borderId="8" xfId="0" applyFont="1" applyBorder="1" applyAlignment="1">
      <alignment horizontal="right"/>
    </xf>
    <xf numFmtId="0" fontId="6" fillId="0" borderId="9" xfId="0" applyFont="1" applyBorder="1" applyAlignment="1">
      <alignment horizontal="right"/>
    </xf>
    <xf numFmtId="0" fontId="6" fillId="0" borderId="6" xfId="0" applyFont="1" applyBorder="1" applyAlignment="1">
      <alignment horizontal="right"/>
    </xf>
    <xf numFmtId="0" fontId="6" fillId="0" borderId="10" xfId="0" applyFont="1" applyFill="1" applyBorder="1" applyAlignment="1">
      <alignment horizontal="right"/>
    </xf>
    <xf numFmtId="0" fontId="6" fillId="0" borderId="8" xfId="0" applyFont="1" applyBorder="1"/>
    <xf numFmtId="0" fontId="3" fillId="2" borderId="12" xfId="0" applyFont="1" applyFill="1" applyBorder="1"/>
    <xf numFmtId="0" fontId="6" fillId="0" borderId="12" xfId="0" applyFont="1" applyFill="1" applyBorder="1" applyAlignment="1">
      <alignment wrapText="1"/>
    </xf>
    <xf numFmtId="0" fontId="6" fillId="0" borderId="12" xfId="0" applyFont="1" applyFill="1" applyBorder="1" applyAlignment="1">
      <alignment vertical="center" wrapText="1"/>
    </xf>
    <xf numFmtId="0" fontId="27" fillId="2" borderId="36" xfId="0" applyFont="1" applyFill="1" applyBorder="1" applyAlignment="1">
      <alignment horizontal="center" wrapText="1"/>
    </xf>
    <xf numFmtId="0" fontId="3" fillId="0" borderId="36" xfId="0" applyFont="1" applyBorder="1" applyAlignment="1">
      <alignment horizontal="justify" wrapText="1"/>
    </xf>
    <xf numFmtId="0" fontId="13" fillId="2" borderId="12" xfId="0" applyFont="1" applyFill="1" applyBorder="1"/>
    <xf numFmtId="0" fontId="3" fillId="0" borderId="12" xfId="0" applyFont="1" applyFill="1" applyBorder="1" applyAlignment="1">
      <alignment vertical="top" wrapText="1"/>
    </xf>
    <xf numFmtId="164" fontId="3" fillId="0" borderId="12" xfId="0" applyNumberFormat="1" applyFont="1" applyBorder="1" applyAlignment="1">
      <alignment horizontal="left" vertical="top" wrapText="1"/>
    </xf>
    <xf numFmtId="164" fontId="3" fillId="0" borderId="12" xfId="0" applyNumberFormat="1" applyFont="1" applyFill="1" applyBorder="1" applyAlignment="1">
      <alignment horizontal="left" vertical="top" wrapText="1"/>
    </xf>
    <xf numFmtId="9" fontId="3" fillId="0" borderId="12" xfId="0" applyNumberFormat="1" applyFont="1" applyFill="1" applyBorder="1"/>
    <xf numFmtId="0" fontId="3" fillId="2" borderId="12" xfId="0" applyFont="1" applyFill="1" applyBorder="1" applyAlignment="1">
      <alignment wrapText="1"/>
    </xf>
    <xf numFmtId="0" fontId="6" fillId="2" borderId="17" xfId="0" applyFont="1" applyFill="1" applyBorder="1" applyAlignment="1">
      <alignment wrapText="1"/>
    </xf>
    <xf numFmtId="0" fontId="3" fillId="2" borderId="2" xfId="0" applyFont="1" applyFill="1" applyBorder="1"/>
    <xf numFmtId="6" fontId="3" fillId="2" borderId="18" xfId="0" applyNumberFormat="1" applyFont="1" applyFill="1" applyBorder="1" applyAlignment="1">
      <alignment horizontal="left" vertical="top" wrapText="1"/>
    </xf>
    <xf numFmtId="0" fontId="3" fillId="0" borderId="0" xfId="0" applyFont="1" applyFill="1" applyBorder="1" applyAlignment="1">
      <alignment wrapText="1"/>
    </xf>
    <xf numFmtId="0" fontId="3" fillId="0" borderId="12" xfId="0" applyFont="1" applyBorder="1" applyAlignment="1">
      <alignment horizontal="left" vertical="top" wrapText="1"/>
    </xf>
    <xf numFmtId="0" fontId="3" fillId="0" borderId="0" xfId="0" applyFont="1" applyFill="1" applyBorder="1" applyAlignment="1">
      <alignment wrapText="1"/>
    </xf>
    <xf numFmtId="164" fontId="6" fillId="2" borderId="32" xfId="0" applyNumberFormat="1" applyFont="1" applyFill="1" applyBorder="1"/>
    <xf numFmtId="164" fontId="3" fillId="7" borderId="0" xfId="0" applyNumberFormat="1" applyFont="1" applyFill="1"/>
    <xf numFmtId="164" fontId="6" fillId="2" borderId="31" xfId="0" applyNumberFormat="1" applyFont="1" applyFill="1" applyBorder="1"/>
    <xf numFmtId="0" fontId="6" fillId="0" borderId="12" xfId="0" applyFont="1" applyFill="1" applyBorder="1" applyAlignment="1">
      <alignment horizontal="center" wrapText="1"/>
    </xf>
    <xf numFmtId="0" fontId="6" fillId="0" borderId="12" xfId="0" applyFont="1" applyFill="1" applyBorder="1" applyAlignment="1"/>
    <xf numFmtId="0" fontId="29" fillId="0" borderId="0" xfId="3" quotePrefix="1"/>
    <xf numFmtId="0" fontId="29" fillId="0" borderId="0" xfId="3"/>
    <xf numFmtId="0" fontId="28" fillId="0" borderId="0" xfId="0" applyFont="1"/>
    <xf numFmtId="0" fontId="11" fillId="0" borderId="12" xfId="0" applyFont="1" applyFill="1" applyBorder="1"/>
    <xf numFmtId="0" fontId="9" fillId="0" borderId="12" xfId="0" applyFont="1" applyFill="1" applyBorder="1"/>
    <xf numFmtId="0" fontId="6" fillId="0" borderId="0" xfId="0" applyFont="1" applyAlignment="1">
      <alignment horizontal="left" wrapText="1"/>
    </xf>
    <xf numFmtId="0" fontId="2" fillId="0" borderId="0" xfId="0" applyFont="1" applyAlignment="1">
      <alignment horizontal="left" wrapText="1"/>
    </xf>
    <xf numFmtId="0" fontId="6" fillId="2" borderId="0" xfId="0" applyFont="1" applyFill="1" applyBorder="1" applyAlignment="1">
      <alignment horizontal="left" vertical="center"/>
    </xf>
    <xf numFmtId="0" fontId="3" fillId="0" borderId="0" xfId="0" applyFont="1" applyFill="1" applyAlignment="1">
      <alignment horizontal="left" vertical="top" wrapText="1"/>
    </xf>
    <xf numFmtId="0" fontId="6" fillId="2" borderId="0" xfId="0" applyFont="1" applyFill="1" applyAlignment="1">
      <alignment horizontal="left" vertical="center"/>
    </xf>
    <xf numFmtId="0" fontId="3" fillId="0" borderId="0" xfId="0" applyFont="1" applyAlignment="1">
      <alignment horizontal="left" vertical="top" wrapText="1"/>
    </xf>
    <xf numFmtId="0" fontId="3" fillId="0" borderId="12" xfId="0" applyFont="1" applyBorder="1" applyAlignment="1">
      <alignment horizontal="left" vertical="center" wrapText="1"/>
    </xf>
    <xf numFmtId="0" fontId="6" fillId="0" borderId="12" xfId="0" applyFont="1" applyBorder="1" applyAlignment="1"/>
    <xf numFmtId="0" fontId="3" fillId="0" borderId="13" xfId="0" applyFont="1" applyBorder="1" applyAlignment="1">
      <alignment horizontal="left" vertical="top" wrapText="1"/>
    </xf>
    <xf numFmtId="0" fontId="3" fillId="0" borderId="14" xfId="0" applyFont="1" applyBorder="1" applyAlignment="1">
      <alignment horizontal="left" vertical="top" wrapText="1"/>
    </xf>
    <xf numFmtId="0" fontId="3" fillId="0" borderId="15" xfId="0" applyFont="1" applyBorder="1" applyAlignment="1">
      <alignment horizontal="left" vertical="top" wrapText="1"/>
    </xf>
    <xf numFmtId="0" fontId="3" fillId="0" borderId="12" xfId="0" applyFont="1" applyFill="1" applyBorder="1" applyAlignment="1">
      <alignment horizontal="left" vertical="center" wrapText="1"/>
    </xf>
    <xf numFmtId="0" fontId="8" fillId="0" borderId="1" xfId="0" applyFont="1" applyFill="1" applyBorder="1" applyAlignment="1">
      <alignment horizontal="left" vertical="top" wrapText="1"/>
    </xf>
    <xf numFmtId="0" fontId="5" fillId="0" borderId="39" xfId="0" applyFont="1" applyBorder="1" applyAlignment="1">
      <alignment horizontal="left" wrapText="1"/>
    </xf>
    <xf numFmtId="0" fontId="6" fillId="0" borderId="6" xfId="2" applyFont="1" applyBorder="1" applyAlignment="1">
      <alignment horizontal="center" vertical="center"/>
    </xf>
    <xf numFmtId="0" fontId="6" fillId="0" borderId="8" xfId="2" applyFont="1" applyBorder="1" applyAlignment="1">
      <alignment horizontal="center" vertical="center"/>
    </xf>
    <xf numFmtId="0" fontId="6" fillId="0" borderId="7" xfId="2" applyFont="1" applyBorder="1" applyAlignment="1">
      <alignment horizontal="center" vertical="center" wrapText="1"/>
    </xf>
    <xf numFmtId="0" fontId="6" fillId="0" borderId="9" xfId="2" applyFont="1" applyBorder="1" applyAlignment="1">
      <alignment horizontal="center" vertical="center" wrapText="1"/>
    </xf>
    <xf numFmtId="0" fontId="6" fillId="0" borderId="30" xfId="2" applyFont="1" applyFill="1" applyBorder="1" applyAlignment="1">
      <alignment horizontal="center" vertical="center"/>
    </xf>
    <xf numFmtId="0" fontId="6" fillId="0" borderId="32" xfId="2" applyFont="1" applyFill="1" applyBorder="1" applyAlignment="1">
      <alignment horizontal="center" vertical="center"/>
    </xf>
    <xf numFmtId="0" fontId="6" fillId="2" borderId="3" xfId="0" applyFont="1" applyFill="1" applyBorder="1" applyAlignment="1">
      <alignment horizontal="left" vertical="center"/>
    </xf>
    <xf numFmtId="0" fontId="6" fillId="2" borderId="3" xfId="0" applyFont="1" applyFill="1" applyBorder="1" applyAlignment="1">
      <alignment horizontal="left" vertical="center" wrapText="1"/>
    </xf>
    <xf numFmtId="0" fontId="3" fillId="0" borderId="12" xfId="0" applyFont="1" applyBorder="1" applyAlignment="1"/>
    <xf numFmtId="0" fontId="3" fillId="0" borderId="0" xfId="0" applyFont="1" applyFill="1" applyBorder="1" applyAlignment="1">
      <alignment horizontal="left" wrapText="1"/>
    </xf>
    <xf numFmtId="0" fontId="3" fillId="0" borderId="12" xfId="0" applyFont="1" applyFill="1" applyBorder="1" applyAlignment="1">
      <alignment horizontal="left" vertical="top" wrapText="1"/>
    </xf>
    <xf numFmtId="0" fontId="3" fillId="0" borderId="12" xfId="0" applyFont="1" applyBorder="1" applyAlignment="1">
      <alignment horizontal="left" vertical="top" wrapText="1"/>
    </xf>
    <xf numFmtId="0" fontId="3" fillId="0" borderId="17" xfId="0" applyFont="1" applyBorder="1" applyAlignment="1"/>
    <xf numFmtId="0" fontId="3" fillId="0" borderId="2" xfId="0" applyFont="1" applyBorder="1" applyAlignment="1"/>
    <xf numFmtId="0" fontId="3" fillId="0" borderId="18" xfId="0" applyFont="1" applyBorder="1" applyAlignment="1"/>
    <xf numFmtId="0" fontId="3" fillId="0" borderId="0" xfId="0" applyFont="1" applyFill="1" applyBorder="1" applyAlignment="1">
      <alignment wrapText="1"/>
    </xf>
    <xf numFmtId="0" fontId="3" fillId="0" borderId="0" xfId="0" applyFont="1" applyBorder="1" applyAlignment="1">
      <alignment wrapText="1"/>
    </xf>
    <xf numFmtId="0" fontId="3" fillId="0" borderId="12" xfId="0" applyFont="1" applyBorder="1" applyAlignment="1">
      <alignment wrapText="1"/>
    </xf>
    <xf numFmtId="0" fontId="6" fillId="2" borderId="12" xfId="0" applyFont="1" applyFill="1" applyBorder="1" applyAlignment="1">
      <alignment horizontal="center"/>
    </xf>
    <xf numFmtId="0" fontId="3" fillId="0" borderId="13" xfId="0" applyFont="1" applyBorder="1" applyAlignment="1">
      <alignment horizontal="left" wrapText="1"/>
    </xf>
    <xf numFmtId="0" fontId="3" fillId="0" borderId="14" xfId="0" applyFont="1" applyBorder="1" applyAlignment="1">
      <alignment horizontal="left" wrapText="1"/>
    </xf>
    <xf numFmtId="0" fontId="3" fillId="0" borderId="15" xfId="0" applyFont="1" applyBorder="1" applyAlignment="1">
      <alignment horizontal="left" wrapText="1"/>
    </xf>
    <xf numFmtId="0" fontId="6" fillId="0" borderId="17" xfId="0" applyFont="1" applyBorder="1" applyAlignment="1">
      <alignment wrapText="1"/>
    </xf>
    <xf numFmtId="0" fontId="3" fillId="0" borderId="2" xfId="0" applyFont="1" applyBorder="1" applyAlignment="1">
      <alignment wrapText="1"/>
    </xf>
    <xf numFmtId="0" fontId="3" fillId="0" borderId="18" xfId="0" applyFont="1" applyBorder="1" applyAlignment="1">
      <alignment wrapText="1"/>
    </xf>
    <xf numFmtId="0" fontId="10" fillId="0" borderId="13" xfId="0" applyFont="1" applyFill="1" applyBorder="1" applyAlignment="1" applyProtection="1">
      <alignment horizontal="left" vertical="top" wrapText="1"/>
    </xf>
    <xf numFmtId="0" fontId="10" fillId="0" borderId="15" xfId="0" applyFont="1" applyFill="1" applyBorder="1" applyAlignment="1" applyProtection="1">
      <alignment horizontal="left" vertical="top" wrapText="1"/>
    </xf>
    <xf numFmtId="0" fontId="9" fillId="0" borderId="13" xfId="0" applyFont="1" applyFill="1" applyBorder="1" applyAlignment="1">
      <alignment horizontal="left" vertical="top" wrapText="1"/>
    </xf>
    <xf numFmtId="0" fontId="9" fillId="0" borderId="15" xfId="0" applyFont="1" applyFill="1" applyBorder="1" applyAlignment="1">
      <alignment horizontal="left" vertical="top" wrapText="1"/>
    </xf>
    <xf numFmtId="0" fontId="3" fillId="0" borderId="12" xfId="0" applyFont="1" applyFill="1" applyBorder="1" applyAlignment="1"/>
    <xf numFmtId="164" fontId="3" fillId="0" borderId="12" xfId="0" applyNumberFormat="1" applyFont="1" applyBorder="1" applyAlignment="1">
      <alignment horizontal="left" vertical="center" wrapText="1"/>
    </xf>
    <xf numFmtId="0" fontId="3" fillId="0" borderId="17" xfId="0" applyFont="1" applyFill="1" applyBorder="1" applyAlignment="1">
      <alignment horizontal="left" vertical="top" wrapText="1"/>
    </xf>
    <xf numFmtId="0" fontId="3" fillId="0" borderId="18" xfId="0" applyFont="1" applyFill="1" applyBorder="1" applyAlignment="1">
      <alignment horizontal="left" vertical="top" wrapText="1"/>
    </xf>
    <xf numFmtId="0" fontId="3" fillId="0" borderId="3" xfId="0" applyFont="1" applyBorder="1" applyAlignment="1">
      <alignment horizontal="left" vertical="top" wrapText="1"/>
    </xf>
    <xf numFmtId="0" fontId="6" fillId="6" borderId="0" xfId="0" applyFont="1" applyFill="1" applyAlignment="1">
      <alignment horizontal="left" vertical="center" wrapText="1"/>
    </xf>
    <xf numFmtId="0" fontId="3" fillId="0" borderId="3" xfId="0" applyFont="1" applyFill="1" applyBorder="1" applyAlignment="1">
      <alignment horizontal="left" vertical="top" wrapText="1"/>
    </xf>
    <xf numFmtId="0" fontId="9" fillId="0" borderId="3" xfId="0" applyFont="1" applyFill="1" applyBorder="1" applyAlignment="1">
      <alignment horizontal="left" vertical="top" wrapText="1"/>
    </xf>
    <xf numFmtId="0" fontId="6" fillId="2" borderId="0" xfId="0" applyFont="1" applyFill="1" applyAlignment="1">
      <alignment horizontal="left" vertical="center" wrapText="1"/>
    </xf>
    <xf numFmtId="0" fontId="3" fillId="2" borderId="17" xfId="0" applyFont="1" applyFill="1" applyBorder="1" applyAlignment="1">
      <alignment horizontal="left" vertical="top" wrapText="1"/>
    </xf>
    <xf numFmtId="0" fontId="3" fillId="2" borderId="2" xfId="0" applyFont="1" applyFill="1" applyBorder="1" applyAlignment="1">
      <alignment horizontal="left" vertical="top"/>
    </xf>
    <xf numFmtId="0" fontId="3" fillId="2" borderId="18" xfId="0" applyFont="1" applyFill="1" applyBorder="1" applyAlignment="1">
      <alignment horizontal="left" vertical="top"/>
    </xf>
    <xf numFmtId="0" fontId="3" fillId="2" borderId="12" xfId="0" applyFont="1" applyFill="1" applyBorder="1" applyAlignment="1">
      <alignment horizontal="left" vertical="top" wrapText="1"/>
    </xf>
    <xf numFmtId="0" fontId="21" fillId="2" borderId="12" xfId="0" applyFont="1" applyFill="1" applyBorder="1" applyAlignment="1">
      <alignment horizontal="left" vertical="top"/>
    </xf>
    <xf numFmtId="0" fontId="3" fillId="2" borderId="12" xfId="0" applyFont="1" applyFill="1" applyBorder="1" applyAlignment="1">
      <alignment horizontal="left" vertical="top"/>
    </xf>
    <xf numFmtId="0" fontId="3" fillId="0" borderId="13" xfId="0" applyFont="1" applyBorder="1" applyAlignment="1"/>
    <xf numFmtId="0" fontId="3" fillId="0" borderId="14" xfId="0" applyFont="1" applyBorder="1" applyAlignment="1"/>
    <xf numFmtId="0" fontId="3" fillId="0" borderId="15" xfId="0" applyFont="1" applyBorder="1" applyAlignment="1"/>
    <xf numFmtId="0" fontId="3" fillId="2" borderId="17" xfId="0" applyFont="1" applyFill="1" applyBorder="1" applyAlignment="1">
      <alignment horizontal="left" vertical="top"/>
    </xf>
    <xf numFmtId="0" fontId="26" fillId="0" borderId="0" xfId="0" applyFont="1" applyAlignment="1">
      <alignment horizontal="left" vertical="top" wrapText="1"/>
    </xf>
    <xf numFmtId="0" fontId="3" fillId="0" borderId="12" xfId="0" applyFont="1" applyFill="1" applyBorder="1" applyAlignment="1">
      <alignment horizontal="left" vertical="top"/>
    </xf>
    <xf numFmtId="0" fontId="3" fillId="2" borderId="2" xfId="0" applyFont="1" applyFill="1" applyBorder="1" applyAlignment="1">
      <alignment horizontal="left" vertical="top" wrapText="1"/>
    </xf>
    <xf numFmtId="0" fontId="3" fillId="2" borderId="18" xfId="0" applyFont="1" applyFill="1" applyBorder="1" applyAlignment="1">
      <alignment horizontal="left" vertical="top" wrapText="1"/>
    </xf>
    <xf numFmtId="0" fontId="6" fillId="2" borderId="17" xfId="0" applyFont="1" applyFill="1" applyBorder="1" applyAlignment="1">
      <alignment horizontal="center" vertical="top" wrapText="1"/>
    </xf>
    <xf numFmtId="0" fontId="6" fillId="2" borderId="18" xfId="0" applyFont="1" applyFill="1" applyBorder="1" applyAlignment="1">
      <alignment horizontal="center" vertical="top" wrapText="1"/>
    </xf>
    <xf numFmtId="0" fontId="6" fillId="0" borderId="0" xfId="0" applyFont="1" applyBorder="1" applyAlignment="1">
      <alignment horizontal="center"/>
    </xf>
    <xf numFmtId="0" fontId="6" fillId="0" borderId="4" xfId="0" applyFont="1" applyBorder="1" applyAlignment="1">
      <alignment horizontal="center"/>
    </xf>
    <xf numFmtId="0" fontId="6" fillId="0" borderId="4" xfId="0" applyFont="1" applyBorder="1"/>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4" xfId="0" applyFont="1" applyBorder="1" applyAlignment="1">
      <alignment horizontal="center" vertical="center" wrapText="1"/>
    </xf>
    <xf numFmtId="0" fontId="6" fillId="0" borderId="7"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1" xfId="0" applyFont="1" applyBorder="1" applyAlignment="1">
      <alignment horizontal="center" vertical="center" wrapText="1"/>
    </xf>
    <xf numFmtId="15" fontId="3" fillId="0" borderId="36" xfId="0" applyNumberFormat="1" applyFont="1" applyBorder="1" applyAlignment="1">
      <alignment horizontal="justify" wrapText="1"/>
    </xf>
    <xf numFmtId="15" fontId="5" fillId="0" borderId="28" xfId="0" applyNumberFormat="1" applyFont="1" applyBorder="1" applyAlignment="1">
      <alignment horizontal="justify" wrapText="1"/>
    </xf>
    <xf numFmtId="15" fontId="5" fillId="0" borderId="29" xfId="0" applyNumberFormat="1" applyFont="1" applyBorder="1" applyAlignment="1">
      <alignment horizontal="justify" wrapText="1"/>
    </xf>
    <xf numFmtId="0" fontId="3" fillId="0" borderId="36" xfId="0" applyFont="1" applyBorder="1" applyAlignment="1">
      <alignment horizontal="justify" wrapText="1"/>
    </xf>
    <xf numFmtId="0" fontId="5" fillId="0" borderId="28" xfId="0" applyFont="1" applyBorder="1" applyAlignment="1">
      <alignment horizontal="justify" wrapText="1"/>
    </xf>
    <xf numFmtId="0" fontId="5" fillId="0" borderId="29" xfId="0" applyFont="1" applyBorder="1" applyAlignment="1">
      <alignment horizontal="justify" wrapText="1"/>
    </xf>
    <xf numFmtId="15" fontId="5" fillId="0" borderId="27" xfId="0" applyNumberFormat="1" applyFont="1" applyBorder="1" applyAlignment="1">
      <alignment horizontal="justify" wrapText="1"/>
    </xf>
    <xf numFmtId="0" fontId="5" fillId="0" borderId="27" xfId="0" applyFont="1" applyBorder="1" applyAlignment="1">
      <alignment horizontal="justify" wrapText="1"/>
    </xf>
    <xf numFmtId="0" fontId="3" fillId="0" borderId="37" xfId="0" applyFont="1" applyBorder="1" applyAlignment="1">
      <alignment horizontal="center" wrapText="1"/>
    </xf>
    <xf numFmtId="0" fontId="5" fillId="0" borderId="0" xfId="0" applyFont="1" applyBorder="1" applyAlignment="1">
      <alignment horizontal="center" wrapText="1"/>
    </xf>
    <xf numFmtId="0" fontId="5" fillId="0" borderId="38" xfId="0" applyFont="1" applyBorder="1" applyAlignment="1">
      <alignment horizontal="center" wrapText="1"/>
    </xf>
  </cellXfs>
  <cellStyles count="4">
    <cellStyle name="Currency" xfId="1" builtinId="4"/>
    <cellStyle name="Hyperlink" xfId="3" builtinId="8"/>
    <cellStyle name="Normal" xfId="0" builtinId="0"/>
    <cellStyle name="Normal 4"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J14"/>
  <sheetViews>
    <sheetView tabSelected="1" workbookViewId="0">
      <selection activeCell="K5" sqref="K5"/>
    </sheetView>
  </sheetViews>
  <sheetFormatPr defaultRowHeight="15"/>
  <sheetData>
    <row r="1" spans="1:10" s="1" customFormat="1" ht="18">
      <c r="A1" s="119" t="s">
        <v>1386</v>
      </c>
      <c r="B1" s="120"/>
      <c r="C1" s="120"/>
      <c r="D1" s="120"/>
      <c r="E1" s="120"/>
      <c r="F1" s="120"/>
      <c r="G1" s="120"/>
      <c r="H1" s="120"/>
      <c r="I1" s="120"/>
      <c r="J1" s="120"/>
    </row>
    <row r="2" spans="1:10" ht="39.75" customHeight="1">
      <c r="A2" s="389" t="s">
        <v>1387</v>
      </c>
      <c r="B2" s="389"/>
      <c r="C2" s="389"/>
      <c r="D2" s="389"/>
      <c r="E2" s="389"/>
      <c r="F2" s="389"/>
      <c r="G2" s="389"/>
      <c r="H2" s="389"/>
      <c r="I2" s="389"/>
      <c r="J2" s="389"/>
    </row>
    <row r="3" spans="1:10" s="1" customFormat="1" ht="14.25" customHeight="1">
      <c r="A3" s="388"/>
      <c r="B3" s="388"/>
      <c r="C3" s="388"/>
      <c r="D3" s="388"/>
      <c r="E3" s="388"/>
      <c r="F3" s="388"/>
      <c r="G3" s="388"/>
      <c r="H3" s="388"/>
      <c r="I3" s="388"/>
      <c r="J3" s="388"/>
    </row>
    <row r="4" spans="1:10">
      <c r="A4" s="385" t="s">
        <v>1369</v>
      </c>
    </row>
    <row r="5" spans="1:10">
      <c r="A5" s="383" t="s">
        <v>1370</v>
      </c>
    </row>
    <row r="6" spans="1:10">
      <c r="A6" s="383" t="s">
        <v>1371</v>
      </c>
    </row>
    <row r="7" spans="1:10">
      <c r="A7" s="383" t="s">
        <v>1372</v>
      </c>
    </row>
    <row r="8" spans="1:10">
      <c r="A8" s="383" t="s">
        <v>1373</v>
      </c>
    </row>
    <row r="9" spans="1:10">
      <c r="A9" s="383" t="s">
        <v>1374</v>
      </c>
    </row>
    <row r="10" spans="1:10">
      <c r="A10" s="383" t="s">
        <v>1375</v>
      </c>
    </row>
    <row r="11" spans="1:10">
      <c r="A11" s="383" t="s">
        <v>1376</v>
      </c>
    </row>
    <row r="12" spans="1:10">
      <c r="A12" s="383" t="s">
        <v>1377</v>
      </c>
    </row>
    <row r="13" spans="1:10">
      <c r="A13" s="383" t="s">
        <v>1378</v>
      </c>
    </row>
    <row r="14" spans="1:10">
      <c r="A14" s="384"/>
    </row>
  </sheetData>
  <sheetProtection password="8725" sheet="1" objects="1" scenarios="1"/>
  <mergeCells count="1">
    <mergeCell ref="A2:J2"/>
  </mergeCells>
  <hyperlinks>
    <hyperlink ref="A5" location="'Scenario 1 Assumptions'!A1" display="'Scenario 1 Assumptions'!A1"/>
    <hyperlink ref="A6" location="'Scenario 1 Calculations'!A1" display="'Scenario 1 Calculations'!A1"/>
    <hyperlink ref="A7" location="'Scenario 2 Assumptions'!A1" display="'Scenario 2 Assumptions'!A1"/>
    <hyperlink ref="A8" location="'Scenario 2 Calculations'!A1" display="'Scenario 2 Calculations'!A1"/>
    <hyperlink ref="A9" location="'Best-estimate'!A1" display="'Best-estimate'!A1"/>
    <hyperlink ref="A10" location="'Industry Assumptions'!A1" display="'Industry Assumptions'!A1"/>
    <hyperlink ref="A11" location="'Industry Calculations'!A1" display="'Industry Calculations'!A1"/>
    <hyperlink ref="A12" location="'No. port. appl. MMO'!A1" display="'No. port. appl. MMO'!A1"/>
    <hyperlink ref="A13" location="'Ports within 5km rMCZ'!A1" display="'Ports within 5km rMCZ'!A1"/>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dimension ref="A1:G246"/>
  <sheetViews>
    <sheetView workbookViewId="0">
      <selection activeCell="C23" sqref="C23"/>
    </sheetView>
  </sheetViews>
  <sheetFormatPr defaultRowHeight="12.75"/>
  <cols>
    <col min="1" max="1" width="41.85546875" style="59" customWidth="1"/>
    <col min="2" max="2" width="21.42578125" style="59" customWidth="1"/>
    <col min="3" max="3" width="24.85546875" style="66" customWidth="1"/>
    <col min="4" max="4" width="28" style="66" bestFit="1" customWidth="1"/>
    <col min="5" max="5" width="34" style="66" bestFit="1" customWidth="1"/>
    <col min="6" max="6" width="33.28515625" style="59" bestFit="1" customWidth="1"/>
    <col min="7" max="7" width="27.28515625" style="66" customWidth="1"/>
    <col min="8" max="16384" width="9.140625" style="59"/>
  </cols>
  <sheetData>
    <row r="1" spans="1:7" ht="44.25" customHeight="1">
      <c r="A1" s="16" t="s">
        <v>472</v>
      </c>
      <c r="B1" s="16" t="s">
        <v>1325</v>
      </c>
      <c r="C1" s="57" t="s">
        <v>974</v>
      </c>
      <c r="D1" s="366" t="s">
        <v>908</v>
      </c>
      <c r="E1" s="366" t="s">
        <v>909</v>
      </c>
      <c r="F1" s="366" t="s">
        <v>927</v>
      </c>
    </row>
    <row r="2" spans="1:7">
      <c r="A2" s="323" t="s">
        <v>587</v>
      </c>
      <c r="B2" s="323" t="s">
        <v>653</v>
      </c>
      <c r="C2" s="62"/>
      <c r="D2" s="63" t="s">
        <v>912</v>
      </c>
      <c r="E2" s="63" t="s">
        <v>912</v>
      </c>
      <c r="F2" s="63" t="s">
        <v>913</v>
      </c>
      <c r="G2" s="59"/>
    </row>
    <row r="3" spans="1:7">
      <c r="A3" s="51" t="s">
        <v>483</v>
      </c>
      <c r="B3" s="51" t="s">
        <v>653</v>
      </c>
      <c r="C3" s="62"/>
      <c r="D3" s="63" t="s">
        <v>912</v>
      </c>
      <c r="E3" s="63" t="s">
        <v>912</v>
      </c>
      <c r="F3" s="63" t="s">
        <v>913</v>
      </c>
      <c r="G3" s="59"/>
    </row>
    <row r="4" spans="1:7">
      <c r="A4" s="323" t="s">
        <v>570</v>
      </c>
      <c r="B4" s="323" t="s">
        <v>653</v>
      </c>
      <c r="C4" s="62"/>
      <c r="D4" s="63" t="s">
        <v>912</v>
      </c>
      <c r="E4" s="63" t="s">
        <v>912</v>
      </c>
      <c r="F4" s="63" t="s">
        <v>912</v>
      </c>
      <c r="G4" s="59"/>
    </row>
    <row r="5" spans="1:7">
      <c r="A5" s="67" t="s">
        <v>915</v>
      </c>
      <c r="B5" s="67" t="s">
        <v>653</v>
      </c>
      <c r="C5" s="62"/>
      <c r="D5" s="63" t="s">
        <v>912</v>
      </c>
      <c r="E5" s="63" t="s">
        <v>912</v>
      </c>
      <c r="F5" s="63" t="s">
        <v>912</v>
      </c>
      <c r="G5" s="59"/>
    </row>
    <row r="6" spans="1:7">
      <c r="A6" s="51" t="s">
        <v>478</v>
      </c>
      <c r="B6" s="51" t="s">
        <v>653</v>
      </c>
      <c r="C6" s="62"/>
      <c r="D6" s="63" t="s">
        <v>912</v>
      </c>
      <c r="E6" s="63" t="s">
        <v>912</v>
      </c>
      <c r="F6" s="63" t="s">
        <v>913</v>
      </c>
      <c r="G6" s="59"/>
    </row>
    <row r="7" spans="1:7">
      <c r="A7" s="51" t="s">
        <v>493</v>
      </c>
      <c r="B7" s="51" t="s">
        <v>653</v>
      </c>
      <c r="C7" s="62" t="s">
        <v>916</v>
      </c>
      <c r="D7" s="63" t="s">
        <v>912</v>
      </c>
      <c r="E7" s="63" t="s">
        <v>914</v>
      </c>
      <c r="F7" s="63" t="s">
        <v>914</v>
      </c>
      <c r="G7" s="59"/>
    </row>
    <row r="8" spans="1:7">
      <c r="A8" s="323" t="s">
        <v>574</v>
      </c>
      <c r="B8" s="51" t="s">
        <v>653</v>
      </c>
      <c r="C8" s="62" t="s">
        <v>917</v>
      </c>
      <c r="D8" s="63" t="s">
        <v>912</v>
      </c>
      <c r="E8" s="63" t="s">
        <v>914</v>
      </c>
      <c r="F8" s="63" t="s">
        <v>914</v>
      </c>
      <c r="G8" s="59"/>
    </row>
    <row r="9" spans="1:7">
      <c r="A9" s="51" t="s">
        <v>484</v>
      </c>
      <c r="B9" s="51" t="s">
        <v>653</v>
      </c>
      <c r="C9" s="62" t="s">
        <v>918</v>
      </c>
      <c r="D9" s="63" t="s">
        <v>912</v>
      </c>
      <c r="E9" s="63" t="s">
        <v>914</v>
      </c>
      <c r="F9" s="63" t="s">
        <v>914</v>
      </c>
      <c r="G9" s="59"/>
    </row>
    <row r="10" spans="1:7">
      <c r="A10" s="323" t="s">
        <v>568</v>
      </c>
      <c r="B10" s="323" t="s">
        <v>653</v>
      </c>
      <c r="C10" s="62"/>
      <c r="D10" s="63" t="s">
        <v>912</v>
      </c>
      <c r="E10" s="63" t="s">
        <v>912</v>
      </c>
      <c r="F10" s="63" t="s">
        <v>913</v>
      </c>
      <c r="G10" s="59"/>
    </row>
    <row r="11" spans="1:7">
      <c r="A11" s="323" t="s">
        <v>592</v>
      </c>
      <c r="B11" s="323" t="s">
        <v>653</v>
      </c>
      <c r="C11" s="62"/>
      <c r="D11" s="63" t="s">
        <v>912</v>
      </c>
      <c r="E11" s="63" t="s">
        <v>912</v>
      </c>
      <c r="F11" s="63" t="s">
        <v>912</v>
      </c>
      <c r="G11" s="59"/>
    </row>
    <row r="12" spans="1:7">
      <c r="A12" s="51" t="s">
        <v>499</v>
      </c>
      <c r="B12" s="51" t="s">
        <v>653</v>
      </c>
      <c r="C12" s="62"/>
      <c r="D12" s="63" t="s">
        <v>912</v>
      </c>
      <c r="E12" s="63" t="s">
        <v>912</v>
      </c>
      <c r="F12" s="63" t="s">
        <v>912</v>
      </c>
      <c r="G12" s="59"/>
    </row>
    <row r="13" spans="1:7">
      <c r="A13" s="51" t="s">
        <v>273</v>
      </c>
      <c r="B13" s="51" t="s">
        <v>653</v>
      </c>
      <c r="C13" s="62" t="s">
        <v>921</v>
      </c>
      <c r="D13" s="63" t="s">
        <v>912</v>
      </c>
      <c r="E13" s="63" t="s">
        <v>914</v>
      </c>
      <c r="F13" s="63" t="s">
        <v>914</v>
      </c>
      <c r="G13" s="59"/>
    </row>
    <row r="14" spans="1:7">
      <c r="A14" s="51" t="s">
        <v>480</v>
      </c>
      <c r="B14" s="51" t="s">
        <v>653</v>
      </c>
      <c r="C14" s="62"/>
      <c r="D14" s="63" t="s">
        <v>912</v>
      </c>
      <c r="E14" s="63" t="s">
        <v>912</v>
      </c>
      <c r="F14" s="63" t="s">
        <v>913</v>
      </c>
      <c r="G14" s="59"/>
    </row>
    <row r="15" spans="1:7">
      <c r="A15" s="323" t="s">
        <v>573</v>
      </c>
      <c r="B15" s="323" t="s">
        <v>653</v>
      </c>
      <c r="C15" s="62"/>
      <c r="D15" s="63" t="s">
        <v>912</v>
      </c>
      <c r="E15" s="63" t="s">
        <v>912</v>
      </c>
      <c r="F15" s="63" t="s">
        <v>912</v>
      </c>
      <c r="G15" s="59"/>
    </row>
    <row r="16" spans="1:7">
      <c r="A16" s="51" t="s">
        <v>569</v>
      </c>
      <c r="B16" s="51" t="s">
        <v>653</v>
      </c>
      <c r="C16" s="62"/>
      <c r="D16" s="63" t="s">
        <v>912</v>
      </c>
      <c r="E16" s="63" t="s">
        <v>912</v>
      </c>
      <c r="F16" s="63" t="s">
        <v>913</v>
      </c>
      <c r="G16" s="59"/>
    </row>
    <row r="17" spans="1:7">
      <c r="A17" s="51" t="s">
        <v>490</v>
      </c>
      <c r="B17" s="51" t="s">
        <v>653</v>
      </c>
      <c r="C17" s="62" t="s">
        <v>916</v>
      </c>
      <c r="D17" s="63" t="s">
        <v>912</v>
      </c>
      <c r="E17" s="63" t="s">
        <v>914</v>
      </c>
      <c r="F17" s="63" t="s">
        <v>914</v>
      </c>
      <c r="G17" s="59"/>
    </row>
    <row r="18" spans="1:7">
      <c r="A18" s="51" t="s">
        <v>473</v>
      </c>
      <c r="B18" s="51" t="s">
        <v>653</v>
      </c>
      <c r="C18" s="62" t="s">
        <v>921</v>
      </c>
      <c r="D18" s="63" t="s">
        <v>912</v>
      </c>
      <c r="E18" s="63" t="s">
        <v>914</v>
      </c>
      <c r="F18" s="63" t="s">
        <v>914</v>
      </c>
      <c r="G18" s="59"/>
    </row>
    <row r="19" spans="1:7">
      <c r="A19" s="51" t="s">
        <v>474</v>
      </c>
      <c r="B19" s="51" t="s">
        <v>653</v>
      </c>
      <c r="C19" s="62" t="s">
        <v>921</v>
      </c>
      <c r="D19" s="63" t="s">
        <v>912</v>
      </c>
      <c r="E19" s="63" t="s">
        <v>914</v>
      </c>
      <c r="F19" s="63" t="s">
        <v>914</v>
      </c>
      <c r="G19" s="59"/>
    </row>
    <row r="20" spans="1:7">
      <c r="A20" s="51" t="s">
        <v>475</v>
      </c>
      <c r="B20" s="51" t="s">
        <v>653</v>
      </c>
      <c r="C20" s="62" t="s">
        <v>921</v>
      </c>
      <c r="D20" s="63" t="s">
        <v>912</v>
      </c>
      <c r="E20" s="63" t="s">
        <v>914</v>
      </c>
      <c r="F20" s="63" t="s">
        <v>914</v>
      </c>
      <c r="G20" s="59"/>
    </row>
    <row r="21" spans="1:7">
      <c r="A21" s="324" t="s">
        <v>502</v>
      </c>
      <c r="B21" s="324" t="s">
        <v>653</v>
      </c>
      <c r="C21" s="62"/>
      <c r="D21" s="63" t="s">
        <v>912</v>
      </c>
      <c r="E21" s="63" t="s">
        <v>912</v>
      </c>
      <c r="F21" s="63" t="s">
        <v>912</v>
      </c>
      <c r="G21" s="59"/>
    </row>
    <row r="22" spans="1:7">
      <c r="A22" s="51" t="s">
        <v>477</v>
      </c>
      <c r="B22" s="51" t="s">
        <v>653</v>
      </c>
      <c r="C22" s="62" t="s">
        <v>921</v>
      </c>
      <c r="D22" s="63" t="s">
        <v>912</v>
      </c>
      <c r="E22" s="63" t="s">
        <v>914</v>
      </c>
      <c r="F22" s="63" t="s">
        <v>914</v>
      </c>
      <c r="G22" s="59"/>
    </row>
    <row r="23" spans="1:7">
      <c r="A23" s="51" t="s">
        <v>922</v>
      </c>
      <c r="B23" s="51" t="s">
        <v>653</v>
      </c>
      <c r="C23" s="62"/>
      <c r="D23" s="63" t="s">
        <v>912</v>
      </c>
      <c r="E23" s="63" t="s">
        <v>912</v>
      </c>
      <c r="F23" s="63" t="s">
        <v>912</v>
      </c>
      <c r="G23" s="59"/>
    </row>
    <row r="24" spans="1:7">
      <c r="A24" s="51" t="s">
        <v>491</v>
      </c>
      <c r="B24" s="51" t="s">
        <v>653</v>
      </c>
      <c r="C24" s="62"/>
      <c r="D24" s="63" t="s">
        <v>912</v>
      </c>
      <c r="E24" s="63" t="s">
        <v>912</v>
      </c>
      <c r="F24" s="63" t="s">
        <v>912</v>
      </c>
      <c r="G24" s="59"/>
    </row>
    <row r="25" spans="1:7">
      <c r="A25" s="51" t="s">
        <v>487</v>
      </c>
      <c r="B25" s="51" t="s">
        <v>653</v>
      </c>
      <c r="C25" s="62" t="s">
        <v>918</v>
      </c>
      <c r="D25" s="63" t="s">
        <v>912</v>
      </c>
      <c r="E25" s="63" t="s">
        <v>914</v>
      </c>
      <c r="F25" s="63" t="s">
        <v>914</v>
      </c>
      <c r="G25" s="59"/>
    </row>
    <row r="26" spans="1:7">
      <c r="A26" s="51" t="s">
        <v>393</v>
      </c>
      <c r="B26" s="51" t="s">
        <v>653</v>
      </c>
      <c r="C26" s="62" t="s">
        <v>918</v>
      </c>
      <c r="D26" s="63" t="s">
        <v>912</v>
      </c>
      <c r="E26" s="63" t="s">
        <v>914</v>
      </c>
      <c r="F26" s="63" t="s">
        <v>914</v>
      </c>
      <c r="G26" s="59"/>
    </row>
    <row r="27" spans="1:7">
      <c r="A27" s="51" t="s">
        <v>283</v>
      </c>
      <c r="B27" s="51" t="s">
        <v>653</v>
      </c>
      <c r="C27" s="62" t="s">
        <v>283</v>
      </c>
      <c r="D27" s="63" t="s">
        <v>912</v>
      </c>
      <c r="E27" s="63" t="s">
        <v>914</v>
      </c>
      <c r="F27" s="63" t="s">
        <v>914</v>
      </c>
      <c r="G27" s="59"/>
    </row>
    <row r="28" spans="1:7">
      <c r="A28" s="51" t="s">
        <v>481</v>
      </c>
      <c r="B28" s="51" t="s">
        <v>653</v>
      </c>
      <c r="C28" s="62"/>
      <c r="D28" s="63" t="s">
        <v>912</v>
      </c>
      <c r="E28" s="63" t="s">
        <v>912</v>
      </c>
      <c r="F28" s="63" t="s">
        <v>913</v>
      </c>
      <c r="G28" s="59"/>
    </row>
    <row r="29" spans="1:7">
      <c r="A29" s="67" t="s">
        <v>503</v>
      </c>
      <c r="B29" s="67" t="s">
        <v>653</v>
      </c>
      <c r="C29" s="62"/>
      <c r="D29" s="63" t="s">
        <v>912</v>
      </c>
      <c r="E29" s="63" t="s">
        <v>912</v>
      </c>
      <c r="F29" s="63" t="s">
        <v>912</v>
      </c>
      <c r="G29" s="59"/>
    </row>
    <row r="30" spans="1:7">
      <c r="A30" s="51" t="s">
        <v>476</v>
      </c>
      <c r="B30" s="51" t="s">
        <v>653</v>
      </c>
      <c r="C30" s="62" t="s">
        <v>921</v>
      </c>
      <c r="D30" s="63" t="s">
        <v>912</v>
      </c>
      <c r="E30" s="63" t="s">
        <v>914</v>
      </c>
      <c r="F30" s="63" t="s">
        <v>914</v>
      </c>
      <c r="G30" s="59"/>
    </row>
    <row r="31" spans="1:7">
      <c r="A31" s="323" t="s">
        <v>281</v>
      </c>
      <c r="B31" s="323" t="s">
        <v>653</v>
      </c>
      <c r="C31" s="62"/>
      <c r="D31" s="63" t="s">
        <v>912</v>
      </c>
      <c r="E31" s="63" t="s">
        <v>912</v>
      </c>
      <c r="F31" s="63" t="s">
        <v>913</v>
      </c>
      <c r="G31" s="59"/>
    </row>
    <row r="32" spans="1:7">
      <c r="A32" s="323" t="s">
        <v>1326</v>
      </c>
      <c r="B32" s="323" t="s">
        <v>653</v>
      </c>
      <c r="C32" s="62"/>
      <c r="D32" s="63" t="s">
        <v>912</v>
      </c>
      <c r="E32" s="63" t="s">
        <v>912</v>
      </c>
      <c r="F32" s="63" t="s">
        <v>912</v>
      </c>
      <c r="G32" s="59"/>
    </row>
    <row r="33" spans="1:7">
      <c r="A33" s="51" t="s">
        <v>571</v>
      </c>
      <c r="B33" s="51" t="s">
        <v>653</v>
      </c>
      <c r="C33" s="62" t="s">
        <v>923</v>
      </c>
      <c r="D33" s="63" t="s">
        <v>912</v>
      </c>
      <c r="E33" s="63" t="s">
        <v>914</v>
      </c>
      <c r="F33" s="63" t="s">
        <v>914</v>
      </c>
      <c r="G33" s="59"/>
    </row>
    <row r="34" spans="1:7">
      <c r="A34" s="51" t="s">
        <v>485</v>
      </c>
      <c r="B34" s="51" t="s">
        <v>653</v>
      </c>
      <c r="C34" s="62" t="s">
        <v>918</v>
      </c>
      <c r="D34" s="63" t="s">
        <v>912</v>
      </c>
      <c r="E34" s="63" t="s">
        <v>914</v>
      </c>
      <c r="F34" s="63" t="s">
        <v>914</v>
      </c>
      <c r="G34" s="59"/>
    </row>
    <row r="35" spans="1:7">
      <c r="A35" s="324" t="s">
        <v>489</v>
      </c>
      <c r="B35" s="51" t="s">
        <v>653</v>
      </c>
      <c r="C35" s="62" t="s">
        <v>916</v>
      </c>
      <c r="D35" s="63" t="s">
        <v>912</v>
      </c>
      <c r="E35" s="63" t="s">
        <v>914</v>
      </c>
      <c r="F35" s="63" t="s">
        <v>914</v>
      </c>
      <c r="G35" s="59"/>
    </row>
    <row r="36" spans="1:7">
      <c r="A36" s="67" t="s">
        <v>501</v>
      </c>
      <c r="B36" s="67" t="s">
        <v>653</v>
      </c>
      <c r="C36" s="62"/>
      <c r="D36" s="63" t="s">
        <v>912</v>
      </c>
      <c r="E36" s="63" t="s">
        <v>912</v>
      </c>
      <c r="F36" s="63" t="s">
        <v>913</v>
      </c>
      <c r="G36" s="59"/>
    </row>
    <row r="37" spans="1:7">
      <c r="A37" s="71" t="s">
        <v>497</v>
      </c>
      <c r="B37" s="51" t="s">
        <v>653</v>
      </c>
      <c r="C37" s="62" t="s">
        <v>916</v>
      </c>
      <c r="D37" s="63" t="s">
        <v>912</v>
      </c>
      <c r="E37" s="63" t="s">
        <v>914</v>
      </c>
      <c r="F37" s="63" t="s">
        <v>914</v>
      </c>
      <c r="G37" s="59"/>
    </row>
    <row r="38" spans="1:7">
      <c r="A38" s="51" t="s">
        <v>492</v>
      </c>
      <c r="B38" s="51" t="s">
        <v>653</v>
      </c>
      <c r="C38" s="62" t="s">
        <v>916</v>
      </c>
      <c r="D38" s="63" t="s">
        <v>912</v>
      </c>
      <c r="E38" s="63" t="s">
        <v>914</v>
      </c>
      <c r="F38" s="63" t="s">
        <v>914</v>
      </c>
      <c r="G38" s="59"/>
    </row>
    <row r="39" spans="1:7">
      <c r="A39" s="51" t="s">
        <v>482</v>
      </c>
      <c r="B39" s="51" t="s">
        <v>653</v>
      </c>
      <c r="C39" s="62"/>
      <c r="D39" s="63" t="s">
        <v>912</v>
      </c>
      <c r="E39" s="63" t="s">
        <v>912</v>
      </c>
      <c r="F39" s="63" t="s">
        <v>913</v>
      </c>
      <c r="G39" s="59"/>
    </row>
    <row r="40" spans="1:7">
      <c r="A40" s="323" t="s">
        <v>576</v>
      </c>
      <c r="B40" s="51" t="s">
        <v>653</v>
      </c>
      <c r="C40" s="62"/>
      <c r="D40" s="63" t="s">
        <v>912</v>
      </c>
      <c r="E40" s="63" t="s">
        <v>912</v>
      </c>
      <c r="F40" s="63" t="s">
        <v>913</v>
      </c>
      <c r="G40" s="59"/>
    </row>
    <row r="41" spans="1:7">
      <c r="A41" s="51" t="s">
        <v>494</v>
      </c>
      <c r="B41" s="51" t="s">
        <v>653</v>
      </c>
      <c r="C41" s="62" t="s">
        <v>916</v>
      </c>
      <c r="D41" s="63" t="s">
        <v>912</v>
      </c>
      <c r="E41" s="63" t="s">
        <v>914</v>
      </c>
      <c r="F41" s="63" t="s">
        <v>914</v>
      </c>
      <c r="G41" s="59"/>
    </row>
    <row r="42" spans="1:7">
      <c r="A42" s="51" t="s">
        <v>488</v>
      </c>
      <c r="B42" s="51" t="s">
        <v>653</v>
      </c>
      <c r="C42" s="62" t="s">
        <v>918</v>
      </c>
      <c r="D42" s="63" t="s">
        <v>912</v>
      </c>
      <c r="E42" s="63" t="s">
        <v>914</v>
      </c>
      <c r="F42" s="63" t="s">
        <v>914</v>
      </c>
      <c r="G42" s="59"/>
    </row>
    <row r="43" spans="1:7">
      <c r="A43" s="51" t="s">
        <v>486</v>
      </c>
      <c r="B43" s="51" t="s">
        <v>653</v>
      </c>
      <c r="C43" s="62" t="s">
        <v>918</v>
      </c>
      <c r="D43" s="63" t="s">
        <v>912</v>
      </c>
      <c r="E43" s="63" t="s">
        <v>914</v>
      </c>
      <c r="F43" s="63" t="s">
        <v>914</v>
      </c>
      <c r="G43" s="59"/>
    </row>
    <row r="44" spans="1:7">
      <c r="A44" s="323" t="s">
        <v>925</v>
      </c>
      <c r="B44" s="323" t="s">
        <v>653</v>
      </c>
      <c r="C44" s="62"/>
      <c r="D44" s="63" t="s">
        <v>912</v>
      </c>
      <c r="E44" s="63" t="s">
        <v>912</v>
      </c>
      <c r="F44" s="63" t="s">
        <v>912</v>
      </c>
      <c r="G44" s="59"/>
    </row>
    <row r="45" spans="1:7">
      <c r="A45" s="71" t="s">
        <v>496</v>
      </c>
      <c r="B45" s="71" t="s">
        <v>653</v>
      </c>
      <c r="C45" s="62"/>
      <c r="D45" s="63" t="s">
        <v>912</v>
      </c>
      <c r="E45" s="63" t="s">
        <v>912</v>
      </c>
      <c r="F45" s="63" t="s">
        <v>912</v>
      </c>
      <c r="G45" s="59"/>
    </row>
    <row r="46" spans="1:7">
      <c r="A46" s="51" t="s">
        <v>479</v>
      </c>
      <c r="B46" s="51" t="s">
        <v>653</v>
      </c>
      <c r="C46" s="62"/>
      <c r="D46" s="63" t="s">
        <v>912</v>
      </c>
      <c r="E46" s="63" t="s">
        <v>912</v>
      </c>
      <c r="F46" s="63" t="s">
        <v>913</v>
      </c>
      <c r="G46" s="59"/>
    </row>
    <row r="47" spans="1:7">
      <c r="A47" s="51" t="s">
        <v>577</v>
      </c>
      <c r="B47" s="51" t="s">
        <v>653</v>
      </c>
      <c r="C47" s="62" t="s">
        <v>926</v>
      </c>
      <c r="D47" s="63" t="s">
        <v>912</v>
      </c>
      <c r="E47" s="63" t="s">
        <v>914</v>
      </c>
      <c r="F47" s="63" t="s">
        <v>914</v>
      </c>
      <c r="G47" s="59"/>
    </row>
    <row r="48" spans="1:7">
      <c r="A48" s="323" t="s">
        <v>407</v>
      </c>
      <c r="B48" s="323" t="s">
        <v>1327</v>
      </c>
      <c r="C48" s="62"/>
      <c r="D48" s="63" t="s">
        <v>912</v>
      </c>
      <c r="E48" s="63" t="s">
        <v>912</v>
      </c>
      <c r="F48" s="63" t="s">
        <v>913</v>
      </c>
      <c r="G48" s="59"/>
    </row>
    <row r="49" spans="1:7">
      <c r="A49" s="51" t="s">
        <v>405</v>
      </c>
      <c r="B49" s="323" t="s">
        <v>1327</v>
      </c>
      <c r="C49" s="62"/>
      <c r="D49" s="63" t="s">
        <v>912</v>
      </c>
      <c r="E49" s="63" t="s">
        <v>912</v>
      </c>
      <c r="F49" s="63" t="s">
        <v>912</v>
      </c>
      <c r="G49" s="59"/>
    </row>
    <row r="50" spans="1:7">
      <c r="A50" s="51" t="s">
        <v>454</v>
      </c>
      <c r="B50" s="323" t="s">
        <v>1327</v>
      </c>
      <c r="C50" s="62"/>
      <c r="D50" s="63" t="s">
        <v>912</v>
      </c>
      <c r="E50" s="63" t="s">
        <v>912</v>
      </c>
      <c r="F50" s="63" t="s">
        <v>913</v>
      </c>
      <c r="G50" s="59"/>
    </row>
    <row r="51" spans="1:7">
      <c r="A51" s="51" t="s">
        <v>449</v>
      </c>
      <c r="B51" s="323" t="s">
        <v>1327</v>
      </c>
      <c r="C51" s="62"/>
      <c r="D51" s="63" t="s">
        <v>912</v>
      </c>
      <c r="E51" s="63" t="s">
        <v>912</v>
      </c>
      <c r="F51" s="63" t="s">
        <v>912</v>
      </c>
      <c r="G51" s="59"/>
    </row>
    <row r="52" spans="1:7">
      <c r="A52" s="323" t="s">
        <v>409</v>
      </c>
      <c r="B52" s="323" t="s">
        <v>1327</v>
      </c>
      <c r="C52" s="62"/>
      <c r="D52" s="63" t="s">
        <v>912</v>
      </c>
      <c r="E52" s="63" t="s">
        <v>912</v>
      </c>
      <c r="F52" s="63" t="s">
        <v>913</v>
      </c>
      <c r="G52" s="59"/>
    </row>
    <row r="53" spans="1:7">
      <c r="A53" s="51" t="s">
        <v>422</v>
      </c>
      <c r="B53" s="323" t="s">
        <v>1327</v>
      </c>
      <c r="C53" s="62"/>
      <c r="D53" s="63" t="s">
        <v>912</v>
      </c>
      <c r="E53" s="63" t="s">
        <v>912</v>
      </c>
      <c r="F53" s="63" t="s">
        <v>912</v>
      </c>
      <c r="G53" s="59"/>
    </row>
    <row r="54" spans="1:7">
      <c r="A54" s="51" t="s">
        <v>418</v>
      </c>
      <c r="B54" s="323" t="s">
        <v>1327</v>
      </c>
      <c r="C54" s="62"/>
      <c r="D54" s="63" t="s">
        <v>912</v>
      </c>
      <c r="E54" s="63" t="s">
        <v>912</v>
      </c>
      <c r="F54" s="63" t="s">
        <v>913</v>
      </c>
      <c r="G54" s="59"/>
    </row>
    <row r="55" spans="1:7">
      <c r="A55" s="51" t="s">
        <v>460</v>
      </c>
      <c r="B55" s="323" t="s">
        <v>1327</v>
      </c>
      <c r="C55" s="62"/>
      <c r="D55" s="63" t="s">
        <v>912</v>
      </c>
      <c r="E55" s="63" t="s">
        <v>912</v>
      </c>
      <c r="F55" s="63" t="s">
        <v>913</v>
      </c>
      <c r="G55" s="59"/>
    </row>
    <row r="56" spans="1:7">
      <c r="A56" s="51" t="s">
        <v>424</v>
      </c>
      <c r="B56" s="323" t="s">
        <v>1327</v>
      </c>
      <c r="C56" s="62"/>
      <c r="D56" s="63" t="s">
        <v>912</v>
      </c>
      <c r="E56" s="63" t="s">
        <v>912</v>
      </c>
      <c r="F56" s="63" t="s">
        <v>912</v>
      </c>
      <c r="G56" s="59"/>
    </row>
    <row r="57" spans="1:7">
      <c r="A57" s="51" t="s">
        <v>438</v>
      </c>
      <c r="B57" s="51" t="s">
        <v>1327</v>
      </c>
      <c r="C57" s="62" t="s">
        <v>919</v>
      </c>
      <c r="D57" s="63" t="s">
        <v>912</v>
      </c>
      <c r="E57" s="63" t="s">
        <v>914</v>
      </c>
      <c r="F57" s="63" t="s">
        <v>914</v>
      </c>
      <c r="G57" s="59"/>
    </row>
    <row r="58" spans="1:7">
      <c r="A58" s="51" t="s">
        <v>458</v>
      </c>
      <c r="B58" s="323" t="s">
        <v>1327</v>
      </c>
      <c r="C58" s="62"/>
      <c r="D58" s="63" t="s">
        <v>912</v>
      </c>
      <c r="E58" s="63" t="s">
        <v>912</v>
      </c>
      <c r="F58" s="63" t="s">
        <v>912</v>
      </c>
      <c r="G58" s="59"/>
    </row>
    <row r="59" spans="1:7">
      <c r="A59" s="51" t="s">
        <v>457</v>
      </c>
      <c r="B59" s="323" t="s">
        <v>1327</v>
      </c>
      <c r="C59" s="62"/>
      <c r="D59" s="63" t="s">
        <v>912</v>
      </c>
      <c r="E59" s="63" t="s">
        <v>912</v>
      </c>
      <c r="F59" s="63" t="s">
        <v>913</v>
      </c>
      <c r="G59" s="59"/>
    </row>
    <row r="60" spans="1:7">
      <c r="A60" s="51" t="s">
        <v>440</v>
      </c>
      <c r="B60" s="51" t="s">
        <v>1327</v>
      </c>
      <c r="C60" s="62" t="s">
        <v>919</v>
      </c>
      <c r="D60" s="63" t="s">
        <v>912</v>
      </c>
      <c r="E60" s="63" t="s">
        <v>914</v>
      </c>
      <c r="F60" s="63" t="s">
        <v>914</v>
      </c>
      <c r="G60" s="59"/>
    </row>
    <row r="61" spans="1:7">
      <c r="A61" s="51" t="s">
        <v>441</v>
      </c>
      <c r="B61" s="51" t="s">
        <v>1327</v>
      </c>
      <c r="C61" s="62" t="s">
        <v>919</v>
      </c>
      <c r="D61" s="63" t="s">
        <v>912</v>
      </c>
      <c r="E61" s="63" t="s">
        <v>914</v>
      </c>
      <c r="F61" s="63" t="s">
        <v>914</v>
      </c>
      <c r="G61" s="59"/>
    </row>
    <row r="62" spans="1:7">
      <c r="A62" s="51" t="s">
        <v>400</v>
      </c>
      <c r="B62" s="51" t="s">
        <v>1327</v>
      </c>
      <c r="C62" s="62" t="s">
        <v>920</v>
      </c>
      <c r="D62" s="63" t="s">
        <v>912</v>
      </c>
      <c r="E62" s="63" t="s">
        <v>914</v>
      </c>
      <c r="F62" s="63" t="s">
        <v>914</v>
      </c>
      <c r="G62" s="59"/>
    </row>
    <row r="63" spans="1:7">
      <c r="A63" s="51" t="s">
        <v>402</v>
      </c>
      <c r="B63" s="51" t="s">
        <v>1327</v>
      </c>
      <c r="C63" s="62" t="s">
        <v>920</v>
      </c>
      <c r="D63" s="63" t="s">
        <v>912</v>
      </c>
      <c r="E63" s="63" t="s">
        <v>914</v>
      </c>
      <c r="F63" s="63" t="s">
        <v>914</v>
      </c>
    </row>
    <row r="64" spans="1:7">
      <c r="A64" s="51" t="s">
        <v>464</v>
      </c>
      <c r="B64" s="323" t="s">
        <v>1327</v>
      </c>
      <c r="C64" s="62"/>
      <c r="D64" s="63" t="s">
        <v>912</v>
      </c>
      <c r="E64" s="63" t="s">
        <v>912</v>
      </c>
      <c r="F64" s="63" t="s">
        <v>912</v>
      </c>
    </row>
    <row r="65" spans="1:7">
      <c r="A65" s="51" t="s">
        <v>442</v>
      </c>
      <c r="B65" s="51" t="s">
        <v>1327</v>
      </c>
      <c r="C65" s="62" t="s">
        <v>919</v>
      </c>
      <c r="D65" s="63" t="s">
        <v>912</v>
      </c>
      <c r="E65" s="63" t="s">
        <v>914</v>
      </c>
      <c r="F65" s="63" t="s">
        <v>914</v>
      </c>
    </row>
    <row r="66" spans="1:7">
      <c r="A66" s="51" t="s">
        <v>420</v>
      </c>
      <c r="B66" s="323" t="s">
        <v>1327</v>
      </c>
      <c r="C66" s="62"/>
      <c r="D66" s="63" t="s">
        <v>912</v>
      </c>
      <c r="E66" s="63" t="s">
        <v>912</v>
      </c>
      <c r="F66" s="63" t="s">
        <v>912</v>
      </c>
    </row>
    <row r="67" spans="1:7">
      <c r="A67" s="51" t="s">
        <v>410</v>
      </c>
      <c r="B67" s="323" t="s">
        <v>1327</v>
      </c>
      <c r="C67" s="62"/>
      <c r="D67" s="63" t="s">
        <v>912</v>
      </c>
      <c r="E67" s="63" t="s">
        <v>912</v>
      </c>
      <c r="F67" s="63" t="s">
        <v>912</v>
      </c>
    </row>
    <row r="68" spans="1:7">
      <c r="A68" s="51" t="s">
        <v>467</v>
      </c>
      <c r="B68" s="323" t="s">
        <v>1327</v>
      </c>
      <c r="C68" s="62"/>
      <c r="D68" s="63" t="s">
        <v>912</v>
      </c>
      <c r="E68" s="63" t="s">
        <v>912</v>
      </c>
      <c r="F68" s="63" t="s">
        <v>913</v>
      </c>
    </row>
    <row r="69" spans="1:7">
      <c r="A69" s="51" t="s">
        <v>394</v>
      </c>
      <c r="B69" s="323" t="s">
        <v>1327</v>
      </c>
      <c r="C69" s="62"/>
      <c r="D69" s="63" t="s">
        <v>912</v>
      </c>
      <c r="E69" s="63" t="s">
        <v>912</v>
      </c>
      <c r="F69" s="63" t="s">
        <v>912</v>
      </c>
    </row>
    <row r="70" spans="1:7">
      <c r="A70" s="51" t="s">
        <v>396</v>
      </c>
      <c r="B70" s="323" t="s">
        <v>1327</v>
      </c>
      <c r="C70" s="62"/>
      <c r="D70" s="63" t="s">
        <v>912</v>
      </c>
      <c r="E70" s="63" t="s">
        <v>912</v>
      </c>
      <c r="F70" s="63" t="s">
        <v>912</v>
      </c>
    </row>
    <row r="71" spans="1:7">
      <c r="A71" s="51" t="s">
        <v>411</v>
      </c>
      <c r="B71" s="323" t="s">
        <v>1327</v>
      </c>
      <c r="C71" s="62"/>
      <c r="D71" s="63" t="s">
        <v>912</v>
      </c>
      <c r="E71" s="63" t="s">
        <v>912</v>
      </c>
      <c r="F71" s="63" t="s">
        <v>912</v>
      </c>
    </row>
    <row r="72" spans="1:7">
      <c r="A72" s="51" t="s">
        <v>443</v>
      </c>
      <c r="B72" s="51" t="s">
        <v>1327</v>
      </c>
      <c r="C72" s="62" t="s">
        <v>919</v>
      </c>
      <c r="D72" s="63" t="s">
        <v>912</v>
      </c>
      <c r="E72" s="63" t="s">
        <v>914</v>
      </c>
      <c r="F72" s="63" t="s">
        <v>914</v>
      </c>
    </row>
    <row r="73" spans="1:7">
      <c r="A73" s="51" t="s">
        <v>430</v>
      </c>
      <c r="B73" s="323" t="s">
        <v>1327</v>
      </c>
      <c r="C73" s="62"/>
      <c r="D73" s="63" t="s">
        <v>912</v>
      </c>
      <c r="E73" s="63" t="s">
        <v>912</v>
      </c>
      <c r="F73" s="63" t="s">
        <v>912</v>
      </c>
    </row>
    <row r="74" spans="1:7">
      <c r="A74" s="51" t="s">
        <v>432</v>
      </c>
      <c r="B74" s="323" t="s">
        <v>1327</v>
      </c>
      <c r="C74" s="62"/>
      <c r="D74" s="63" t="s">
        <v>912</v>
      </c>
      <c r="E74" s="63" t="s">
        <v>912</v>
      </c>
      <c r="F74" s="63" t="s">
        <v>913</v>
      </c>
    </row>
    <row r="75" spans="1:7">
      <c r="A75" s="51" t="s">
        <v>435</v>
      </c>
      <c r="B75" s="323" t="s">
        <v>1327</v>
      </c>
      <c r="C75" s="62"/>
      <c r="D75" s="63" t="s">
        <v>912</v>
      </c>
      <c r="E75" s="63" t="s">
        <v>912</v>
      </c>
      <c r="F75" s="63" t="s">
        <v>912</v>
      </c>
    </row>
    <row r="76" spans="1:7">
      <c r="A76" s="323" t="s">
        <v>413</v>
      </c>
      <c r="B76" s="323" t="s">
        <v>1327</v>
      </c>
      <c r="C76" s="62"/>
      <c r="D76" s="63" t="s">
        <v>912</v>
      </c>
      <c r="E76" s="63" t="s">
        <v>912</v>
      </c>
      <c r="F76" s="63" t="s">
        <v>913</v>
      </c>
    </row>
    <row r="77" spans="1:7">
      <c r="A77" s="51" t="s">
        <v>462</v>
      </c>
      <c r="B77" s="323" t="s">
        <v>1327</v>
      </c>
      <c r="C77" s="62"/>
      <c r="D77" s="63" t="s">
        <v>912</v>
      </c>
      <c r="E77" s="63" t="s">
        <v>912</v>
      </c>
      <c r="F77" s="63" t="s">
        <v>913</v>
      </c>
    </row>
    <row r="78" spans="1:7">
      <c r="A78" s="51" t="s">
        <v>403</v>
      </c>
      <c r="B78" s="51" t="s">
        <v>1327</v>
      </c>
      <c r="C78" s="62" t="s">
        <v>920</v>
      </c>
      <c r="D78" s="63" t="s">
        <v>912</v>
      </c>
      <c r="E78" s="63" t="s">
        <v>914</v>
      </c>
      <c r="F78" s="63" t="s">
        <v>914</v>
      </c>
    </row>
    <row r="79" spans="1:7">
      <c r="A79" s="51" t="s">
        <v>433</v>
      </c>
      <c r="B79" s="323" t="s">
        <v>1327</v>
      </c>
      <c r="C79" s="62"/>
      <c r="D79" s="63" t="s">
        <v>912</v>
      </c>
      <c r="E79" s="63" t="s">
        <v>912</v>
      </c>
      <c r="F79" s="63" t="s">
        <v>913</v>
      </c>
      <c r="G79" s="59"/>
    </row>
    <row r="80" spans="1:7">
      <c r="A80" s="51" t="s">
        <v>444</v>
      </c>
      <c r="B80" s="51" t="s">
        <v>1327</v>
      </c>
      <c r="C80" s="62" t="s">
        <v>919</v>
      </c>
      <c r="D80" s="63" t="s">
        <v>912</v>
      </c>
      <c r="E80" s="63" t="s">
        <v>914</v>
      </c>
      <c r="F80" s="63" t="s">
        <v>914</v>
      </c>
      <c r="G80" s="59"/>
    </row>
    <row r="81" spans="1:7">
      <c r="A81" s="51" t="s">
        <v>445</v>
      </c>
      <c r="B81" s="51" t="s">
        <v>1327</v>
      </c>
      <c r="C81" s="62" t="s">
        <v>919</v>
      </c>
      <c r="D81" s="63" t="s">
        <v>912</v>
      </c>
      <c r="E81" s="63" t="s">
        <v>914</v>
      </c>
      <c r="F81" s="63" t="s">
        <v>914</v>
      </c>
      <c r="G81" s="59"/>
    </row>
    <row r="82" spans="1:7">
      <c r="A82" s="51" t="s">
        <v>469</v>
      </c>
      <c r="B82" s="323" t="s">
        <v>1327</v>
      </c>
      <c r="C82" s="62"/>
      <c r="D82" s="63" t="s">
        <v>912</v>
      </c>
      <c r="E82" s="63" t="s">
        <v>912</v>
      </c>
      <c r="F82" s="63" t="s">
        <v>912</v>
      </c>
      <c r="G82" s="59"/>
    </row>
    <row r="83" spans="1:7">
      <c r="A83" s="51" t="s">
        <v>466</v>
      </c>
      <c r="B83" s="323" t="s">
        <v>1327</v>
      </c>
      <c r="C83" s="62"/>
      <c r="D83" s="63" t="s">
        <v>912</v>
      </c>
      <c r="E83" s="63" t="s">
        <v>912</v>
      </c>
      <c r="F83" s="63" t="s">
        <v>912</v>
      </c>
      <c r="G83" s="59"/>
    </row>
    <row r="84" spans="1:7">
      <c r="A84" s="323" t="s">
        <v>447</v>
      </c>
      <c r="B84" s="51" t="s">
        <v>1327</v>
      </c>
      <c r="C84" s="62" t="s">
        <v>447</v>
      </c>
      <c r="D84" s="63" t="s">
        <v>912</v>
      </c>
      <c r="E84" s="63" t="s">
        <v>914</v>
      </c>
      <c r="F84" s="63" t="s">
        <v>914</v>
      </c>
      <c r="G84" s="59"/>
    </row>
    <row r="85" spans="1:7">
      <c r="A85" s="51" t="s">
        <v>415</v>
      </c>
      <c r="B85" s="323" t="s">
        <v>1327</v>
      </c>
      <c r="C85" s="62"/>
      <c r="D85" s="63" t="s">
        <v>912</v>
      </c>
      <c r="E85" s="63" t="s">
        <v>912</v>
      </c>
      <c r="F85" s="63" t="s">
        <v>913</v>
      </c>
      <c r="G85" s="59"/>
    </row>
    <row r="86" spans="1:7">
      <c r="A86" s="51" t="s">
        <v>470</v>
      </c>
      <c r="B86" s="323" t="s">
        <v>1327</v>
      </c>
      <c r="C86" s="62"/>
      <c r="D86" s="63" t="s">
        <v>912</v>
      </c>
      <c r="E86" s="63" t="s">
        <v>912</v>
      </c>
      <c r="F86" s="63" t="s">
        <v>912</v>
      </c>
      <c r="G86" s="59"/>
    </row>
    <row r="87" spans="1:7">
      <c r="A87" s="51" t="s">
        <v>451</v>
      </c>
      <c r="B87" s="323" t="s">
        <v>1327</v>
      </c>
      <c r="C87" s="62"/>
      <c r="D87" s="63" t="s">
        <v>912</v>
      </c>
      <c r="E87" s="63" t="s">
        <v>912</v>
      </c>
      <c r="F87" s="63" t="s">
        <v>913</v>
      </c>
      <c r="G87" s="59"/>
    </row>
    <row r="88" spans="1:7">
      <c r="A88" s="51" t="s">
        <v>428</v>
      </c>
      <c r="B88" s="323" t="s">
        <v>1327</v>
      </c>
      <c r="C88" s="62"/>
      <c r="D88" s="63" t="s">
        <v>912</v>
      </c>
      <c r="E88" s="63" t="s">
        <v>912</v>
      </c>
      <c r="F88" s="63" t="s">
        <v>912</v>
      </c>
      <c r="G88" s="59"/>
    </row>
    <row r="89" spans="1:7">
      <c r="A89" s="51" t="s">
        <v>425</v>
      </c>
      <c r="B89" s="323" t="s">
        <v>1327</v>
      </c>
      <c r="C89" s="62"/>
      <c r="D89" s="63" t="s">
        <v>912</v>
      </c>
      <c r="E89" s="63" t="s">
        <v>912</v>
      </c>
      <c r="F89" s="63" t="s">
        <v>912</v>
      </c>
      <c r="G89" s="59"/>
    </row>
    <row r="90" spans="1:7">
      <c r="A90" s="51" t="s">
        <v>404</v>
      </c>
      <c r="B90" s="51" t="s">
        <v>1327</v>
      </c>
      <c r="C90" s="62" t="s">
        <v>920</v>
      </c>
      <c r="D90" s="63" t="s">
        <v>912</v>
      </c>
      <c r="E90" s="63" t="s">
        <v>914</v>
      </c>
      <c r="F90" s="63" t="s">
        <v>914</v>
      </c>
      <c r="G90" s="59"/>
    </row>
    <row r="91" spans="1:7">
      <c r="A91" s="51" t="s">
        <v>434</v>
      </c>
      <c r="B91" s="323" t="s">
        <v>1327</v>
      </c>
      <c r="C91" s="62"/>
      <c r="D91" s="63" t="s">
        <v>912</v>
      </c>
      <c r="E91" s="63" t="s">
        <v>912</v>
      </c>
      <c r="F91" s="63" t="s">
        <v>913</v>
      </c>
      <c r="G91" s="59"/>
    </row>
    <row r="92" spans="1:7">
      <c r="A92" s="51" t="s">
        <v>446</v>
      </c>
      <c r="B92" s="51" t="s">
        <v>1327</v>
      </c>
      <c r="C92" s="62" t="s">
        <v>919</v>
      </c>
      <c r="D92" s="63" t="s">
        <v>912</v>
      </c>
      <c r="E92" s="63" t="s">
        <v>914</v>
      </c>
      <c r="F92" s="63" t="s">
        <v>914</v>
      </c>
      <c r="G92" s="59"/>
    </row>
    <row r="93" spans="1:7">
      <c r="A93" s="51" t="s">
        <v>453</v>
      </c>
      <c r="B93" s="323" t="s">
        <v>1327</v>
      </c>
      <c r="C93" s="62"/>
      <c r="D93" s="63" t="s">
        <v>912</v>
      </c>
      <c r="E93" s="63" t="s">
        <v>912</v>
      </c>
      <c r="F93" s="63" t="s">
        <v>912</v>
      </c>
      <c r="G93" s="59"/>
    </row>
    <row r="94" spans="1:7">
      <c r="A94" s="51" t="s">
        <v>463</v>
      </c>
      <c r="B94" s="323" t="s">
        <v>1327</v>
      </c>
      <c r="C94" s="62"/>
      <c r="D94" s="63" t="s">
        <v>912</v>
      </c>
      <c r="E94" s="63" t="s">
        <v>912</v>
      </c>
      <c r="F94" s="63" t="s">
        <v>913</v>
      </c>
      <c r="G94" s="59"/>
    </row>
    <row r="95" spans="1:7">
      <c r="A95" s="51" t="s">
        <v>427</v>
      </c>
      <c r="B95" s="323" t="s">
        <v>1327</v>
      </c>
      <c r="C95" s="62"/>
      <c r="D95" s="63" t="s">
        <v>912</v>
      </c>
      <c r="E95" s="63" t="s">
        <v>912</v>
      </c>
      <c r="F95" s="63" t="s">
        <v>912</v>
      </c>
      <c r="G95" s="59"/>
    </row>
    <row r="96" spans="1:7">
      <c r="A96" s="51" t="s">
        <v>412</v>
      </c>
      <c r="B96" s="323" t="s">
        <v>1327</v>
      </c>
      <c r="C96" s="62"/>
      <c r="D96" s="63" t="s">
        <v>912</v>
      </c>
      <c r="E96" s="63" t="s">
        <v>912</v>
      </c>
      <c r="F96" s="63" t="s">
        <v>912</v>
      </c>
      <c r="G96" s="59"/>
    </row>
    <row r="97" spans="1:7">
      <c r="A97" s="51" t="s">
        <v>417</v>
      </c>
      <c r="B97" s="323" t="s">
        <v>1327</v>
      </c>
      <c r="C97" s="62"/>
      <c r="D97" s="63" t="s">
        <v>912</v>
      </c>
      <c r="E97" s="63" t="s">
        <v>912</v>
      </c>
      <c r="F97" s="63" t="s">
        <v>913</v>
      </c>
      <c r="G97" s="59"/>
    </row>
    <row r="98" spans="1:7">
      <c r="A98" s="51" t="s">
        <v>398</v>
      </c>
      <c r="B98" s="323" t="s">
        <v>1327</v>
      </c>
      <c r="C98" s="62"/>
      <c r="D98" s="63" t="s">
        <v>912</v>
      </c>
      <c r="E98" s="63" t="s">
        <v>912</v>
      </c>
      <c r="F98" s="63" t="s">
        <v>912</v>
      </c>
      <c r="G98" s="59"/>
    </row>
    <row r="99" spans="1:7">
      <c r="A99" s="51" t="s">
        <v>456</v>
      </c>
      <c r="B99" s="323" t="s">
        <v>1327</v>
      </c>
      <c r="C99" s="62"/>
      <c r="D99" s="63" t="s">
        <v>912</v>
      </c>
      <c r="E99" s="63" t="s">
        <v>912</v>
      </c>
      <c r="F99" s="63" t="s">
        <v>912</v>
      </c>
      <c r="G99" s="59"/>
    </row>
    <row r="100" spans="1:7">
      <c r="A100" s="323" t="s">
        <v>324</v>
      </c>
      <c r="B100" s="67" t="s">
        <v>651</v>
      </c>
      <c r="C100" s="62"/>
      <c r="D100" s="63" t="s">
        <v>912</v>
      </c>
      <c r="E100" s="63" t="s">
        <v>912</v>
      </c>
      <c r="F100" s="63" t="s">
        <v>912</v>
      </c>
      <c r="G100" s="59"/>
    </row>
    <row r="101" spans="1:7">
      <c r="A101" s="323" t="s">
        <v>286</v>
      </c>
      <c r="B101" s="323" t="s">
        <v>651</v>
      </c>
      <c r="C101" s="62" t="s">
        <v>1328</v>
      </c>
      <c r="D101" s="63" t="s">
        <v>912</v>
      </c>
      <c r="E101" s="63" t="s">
        <v>914</v>
      </c>
      <c r="F101" s="63" t="s">
        <v>914</v>
      </c>
      <c r="G101" s="59"/>
    </row>
    <row r="102" spans="1:7">
      <c r="A102" s="323" t="s">
        <v>135</v>
      </c>
      <c r="B102" s="323" t="s">
        <v>651</v>
      </c>
      <c r="C102" s="62" t="s">
        <v>1328</v>
      </c>
      <c r="D102" s="63" t="s">
        <v>912</v>
      </c>
      <c r="E102" s="63" t="s">
        <v>914</v>
      </c>
      <c r="F102" s="63" t="s">
        <v>914</v>
      </c>
      <c r="G102" s="59"/>
    </row>
    <row r="103" spans="1:7">
      <c r="A103" s="51" t="s">
        <v>566</v>
      </c>
      <c r="B103" s="323" t="s">
        <v>651</v>
      </c>
      <c r="C103" s="62" t="s">
        <v>1328</v>
      </c>
      <c r="D103" s="63" t="s">
        <v>912</v>
      </c>
      <c r="E103" s="63" t="s">
        <v>914</v>
      </c>
      <c r="F103" s="63" t="s">
        <v>914</v>
      </c>
      <c r="G103" s="59"/>
    </row>
    <row r="104" spans="1:7">
      <c r="A104" s="323" t="s">
        <v>565</v>
      </c>
      <c r="B104" s="323" t="s">
        <v>651</v>
      </c>
      <c r="C104" s="62" t="s">
        <v>1328</v>
      </c>
      <c r="D104" s="63" t="s">
        <v>912</v>
      </c>
      <c r="E104" s="63" t="s">
        <v>914</v>
      </c>
      <c r="F104" s="63" t="s">
        <v>914</v>
      </c>
      <c r="G104" s="59"/>
    </row>
    <row r="105" spans="1:7">
      <c r="A105" s="51" t="s">
        <v>563</v>
      </c>
      <c r="B105" s="323" t="s">
        <v>651</v>
      </c>
      <c r="C105" s="62" t="s">
        <v>1329</v>
      </c>
      <c r="D105" s="63" t="s">
        <v>912</v>
      </c>
      <c r="E105" s="63" t="s">
        <v>914</v>
      </c>
      <c r="F105" s="63" t="s">
        <v>914</v>
      </c>
      <c r="G105" s="59"/>
    </row>
    <row r="106" spans="1:7">
      <c r="A106" s="51" t="s">
        <v>326</v>
      </c>
      <c r="B106" s="51" t="s">
        <v>651</v>
      </c>
      <c r="C106" s="62"/>
      <c r="D106" s="63" t="s">
        <v>912</v>
      </c>
      <c r="E106" s="63" t="s">
        <v>912</v>
      </c>
      <c r="F106" s="63" t="s">
        <v>912</v>
      </c>
      <c r="G106" s="59"/>
    </row>
    <row r="107" spans="1:7">
      <c r="A107" s="51" t="s">
        <v>325</v>
      </c>
      <c r="B107" s="51" t="s">
        <v>651</v>
      </c>
      <c r="C107" s="62"/>
      <c r="D107" s="63" t="s">
        <v>912</v>
      </c>
      <c r="E107" s="63" t="s">
        <v>912</v>
      </c>
      <c r="F107" s="63" t="s">
        <v>912</v>
      </c>
      <c r="G107" s="59"/>
    </row>
    <row r="108" spans="1:7">
      <c r="A108" s="323" t="s">
        <v>321</v>
      </c>
      <c r="B108" s="323" t="s">
        <v>651</v>
      </c>
      <c r="C108" s="62"/>
      <c r="D108" s="63" t="s">
        <v>912</v>
      </c>
      <c r="E108" s="63" t="s">
        <v>912</v>
      </c>
      <c r="F108" s="63" t="s">
        <v>912</v>
      </c>
      <c r="G108" s="59"/>
    </row>
    <row r="109" spans="1:7">
      <c r="A109" s="51" t="s">
        <v>681</v>
      </c>
      <c r="B109" s="51" t="s">
        <v>651</v>
      </c>
      <c r="C109" s="62"/>
      <c r="D109" s="63" t="s">
        <v>912</v>
      </c>
      <c r="E109" s="63" t="s">
        <v>912</v>
      </c>
      <c r="F109" s="63" t="s">
        <v>912</v>
      </c>
      <c r="G109" s="59"/>
    </row>
    <row r="110" spans="1:7">
      <c r="A110" s="323" t="s">
        <v>682</v>
      </c>
      <c r="B110" s="323" t="s">
        <v>651</v>
      </c>
      <c r="C110" s="62"/>
      <c r="D110" s="63" t="s">
        <v>912</v>
      </c>
      <c r="E110" s="63" t="s">
        <v>912</v>
      </c>
      <c r="F110" s="63" t="s">
        <v>912</v>
      </c>
      <c r="G110" s="59"/>
    </row>
    <row r="111" spans="1:7">
      <c r="A111" s="51" t="s">
        <v>564</v>
      </c>
      <c r="B111" s="51" t="s">
        <v>651</v>
      </c>
      <c r="C111" s="62"/>
      <c r="D111" s="63" t="s">
        <v>912</v>
      </c>
      <c r="E111" s="63" t="s">
        <v>912</v>
      </c>
      <c r="F111" s="63" t="s">
        <v>912</v>
      </c>
      <c r="G111" s="59"/>
    </row>
    <row r="112" spans="1:7">
      <c r="A112" s="51" t="s">
        <v>924</v>
      </c>
      <c r="B112" s="51" t="s">
        <v>651</v>
      </c>
      <c r="C112" s="62"/>
      <c r="D112" s="63" t="s">
        <v>912</v>
      </c>
      <c r="E112" s="63" t="s">
        <v>912</v>
      </c>
      <c r="F112" s="63" t="s">
        <v>913</v>
      </c>
      <c r="G112" s="59"/>
    </row>
    <row r="113" spans="1:7">
      <c r="A113" s="323" t="s">
        <v>297</v>
      </c>
      <c r="B113" s="323" t="s">
        <v>654</v>
      </c>
      <c r="C113" s="62"/>
      <c r="D113" s="63" t="s">
        <v>912</v>
      </c>
      <c r="E113" s="63" t="s">
        <v>912</v>
      </c>
      <c r="F113" s="63" t="s">
        <v>912</v>
      </c>
      <c r="G113" s="59"/>
    </row>
    <row r="114" spans="1:7">
      <c r="A114" s="323" t="s">
        <v>296</v>
      </c>
      <c r="B114" s="323" t="s">
        <v>654</v>
      </c>
      <c r="C114" s="62"/>
      <c r="D114" s="63" t="s">
        <v>912</v>
      </c>
      <c r="E114" s="63" t="s">
        <v>912</v>
      </c>
      <c r="F114" s="63" t="s">
        <v>912</v>
      </c>
      <c r="G114" s="59"/>
    </row>
    <row r="115" spans="1:7">
      <c r="A115" s="51" t="s">
        <v>314</v>
      </c>
      <c r="B115" s="51" t="s">
        <v>654</v>
      </c>
      <c r="C115" s="62"/>
      <c r="D115" s="63" t="s">
        <v>912</v>
      </c>
      <c r="E115" s="63" t="s">
        <v>912</v>
      </c>
      <c r="F115" s="63" t="s">
        <v>912</v>
      </c>
      <c r="G115" s="59"/>
    </row>
    <row r="116" spans="1:7">
      <c r="A116" s="323" t="s">
        <v>301</v>
      </c>
      <c r="B116" s="323" t="s">
        <v>654</v>
      </c>
      <c r="C116" s="62"/>
      <c r="D116" s="63" t="s">
        <v>912</v>
      </c>
      <c r="E116" s="63" t="s">
        <v>912</v>
      </c>
      <c r="F116" s="63" t="s">
        <v>912</v>
      </c>
      <c r="G116" s="59"/>
    </row>
    <row r="117" spans="1:7">
      <c r="A117" s="51" t="s">
        <v>310</v>
      </c>
      <c r="B117" s="51" t="s">
        <v>654</v>
      </c>
      <c r="C117" s="62"/>
      <c r="D117" s="63" t="s">
        <v>912</v>
      </c>
      <c r="E117" s="63" t="s">
        <v>912</v>
      </c>
      <c r="F117" s="63" t="s">
        <v>912</v>
      </c>
      <c r="G117" s="59"/>
    </row>
    <row r="118" spans="1:7">
      <c r="A118" s="51" t="s">
        <v>311</v>
      </c>
      <c r="B118" s="51" t="s">
        <v>654</v>
      </c>
      <c r="C118" s="62"/>
      <c r="D118" s="63" t="s">
        <v>912</v>
      </c>
      <c r="E118" s="63" t="s">
        <v>912</v>
      </c>
      <c r="F118" s="63" t="s">
        <v>912</v>
      </c>
      <c r="G118" s="59"/>
    </row>
    <row r="119" spans="1:7">
      <c r="A119" s="51" t="s">
        <v>561</v>
      </c>
      <c r="B119" s="51" t="s">
        <v>654</v>
      </c>
      <c r="C119" s="62"/>
      <c r="D119" s="63" t="s">
        <v>912</v>
      </c>
      <c r="E119" s="63" t="s">
        <v>912</v>
      </c>
      <c r="F119" s="63" t="s">
        <v>912</v>
      </c>
      <c r="G119" s="59"/>
    </row>
    <row r="120" spans="1:7">
      <c r="A120" s="51" t="s">
        <v>292</v>
      </c>
      <c r="B120" s="51" t="s">
        <v>654</v>
      </c>
      <c r="C120" s="62"/>
      <c r="D120" s="63" t="s">
        <v>912</v>
      </c>
      <c r="E120" s="63" t="s">
        <v>912</v>
      </c>
      <c r="F120" s="63" t="s">
        <v>912</v>
      </c>
      <c r="G120" s="59"/>
    </row>
    <row r="121" spans="1:7">
      <c r="A121" s="51" t="s">
        <v>593</v>
      </c>
      <c r="B121" s="51" t="s">
        <v>654</v>
      </c>
      <c r="C121" s="62"/>
      <c r="D121" s="63" t="s">
        <v>912</v>
      </c>
      <c r="E121" s="63" t="s">
        <v>912</v>
      </c>
      <c r="F121" s="63" t="s">
        <v>912</v>
      </c>
      <c r="G121" s="59"/>
    </row>
    <row r="122" spans="1:7">
      <c r="A122" s="323" t="s">
        <v>302</v>
      </c>
      <c r="B122" s="323" t="s">
        <v>654</v>
      </c>
      <c r="C122" s="62"/>
      <c r="D122" s="63" t="s">
        <v>912</v>
      </c>
      <c r="E122" s="63" t="s">
        <v>912</v>
      </c>
      <c r="F122" s="63" t="s">
        <v>912</v>
      </c>
      <c r="G122" s="59"/>
    </row>
    <row r="123" spans="1:7">
      <c r="A123" s="51" t="s">
        <v>290</v>
      </c>
      <c r="B123" s="51" t="s">
        <v>654</v>
      </c>
      <c r="C123" s="62"/>
      <c r="D123" s="63" t="s">
        <v>912</v>
      </c>
      <c r="E123" s="63" t="s">
        <v>912</v>
      </c>
      <c r="F123" s="63" t="s">
        <v>912</v>
      </c>
      <c r="G123" s="59"/>
    </row>
    <row r="124" spans="1:7">
      <c r="A124" s="51" t="s">
        <v>291</v>
      </c>
      <c r="B124" s="51" t="s">
        <v>654</v>
      </c>
      <c r="C124" s="62"/>
      <c r="D124" s="63" t="s">
        <v>912</v>
      </c>
      <c r="E124" s="63" t="s">
        <v>912</v>
      </c>
      <c r="F124" s="63" t="s">
        <v>913</v>
      </c>
      <c r="G124" s="59"/>
    </row>
    <row r="125" spans="1:7">
      <c r="A125" s="51" t="s">
        <v>298</v>
      </c>
      <c r="B125" s="51" t="s">
        <v>654</v>
      </c>
      <c r="C125" s="62"/>
      <c r="D125" s="63" t="s">
        <v>912</v>
      </c>
      <c r="E125" s="63" t="s">
        <v>912</v>
      </c>
      <c r="F125" s="63" t="s">
        <v>912</v>
      </c>
      <c r="G125" s="59"/>
    </row>
    <row r="126" spans="1:7">
      <c r="A126" s="51" t="s">
        <v>293</v>
      </c>
      <c r="B126" s="51" t="s">
        <v>654</v>
      </c>
      <c r="C126" s="62"/>
      <c r="D126" s="63" t="s">
        <v>912</v>
      </c>
      <c r="E126" s="63" t="s">
        <v>912</v>
      </c>
      <c r="F126" s="63" t="s">
        <v>912</v>
      </c>
      <c r="G126" s="59"/>
    </row>
    <row r="127" spans="1:7">
      <c r="A127" s="51" t="s">
        <v>309</v>
      </c>
      <c r="B127" s="51" t="s">
        <v>654</v>
      </c>
      <c r="C127" s="62"/>
      <c r="D127" s="63" t="s">
        <v>912</v>
      </c>
      <c r="E127" s="63" t="s">
        <v>912</v>
      </c>
      <c r="F127" s="63" t="s">
        <v>912</v>
      </c>
      <c r="G127" s="59"/>
    </row>
    <row r="128" spans="1:7">
      <c r="A128" s="51" t="s">
        <v>307</v>
      </c>
      <c r="B128" s="51" t="s">
        <v>654</v>
      </c>
      <c r="C128" s="62"/>
      <c r="D128" s="63" t="s">
        <v>912</v>
      </c>
      <c r="E128" s="63" t="s">
        <v>912</v>
      </c>
      <c r="F128" s="63" t="s">
        <v>912</v>
      </c>
      <c r="G128" s="59"/>
    </row>
    <row r="129" spans="1:7">
      <c r="A129" s="51" t="s">
        <v>295</v>
      </c>
      <c r="B129" s="51" t="s">
        <v>654</v>
      </c>
      <c r="C129" s="62"/>
      <c r="D129" s="63" t="s">
        <v>912</v>
      </c>
      <c r="E129" s="63" t="s">
        <v>912</v>
      </c>
      <c r="F129" s="63" t="s">
        <v>913</v>
      </c>
      <c r="G129" s="59"/>
    </row>
    <row r="130" spans="1:7">
      <c r="A130" s="51" t="s">
        <v>312</v>
      </c>
      <c r="B130" s="51" t="s">
        <v>654</v>
      </c>
      <c r="C130" s="62"/>
      <c r="D130" s="63" t="s">
        <v>912</v>
      </c>
      <c r="E130" s="63" t="s">
        <v>912</v>
      </c>
      <c r="F130" s="63" t="s">
        <v>913</v>
      </c>
    </row>
    <row r="131" spans="1:7">
      <c r="A131" s="51" t="s">
        <v>299</v>
      </c>
      <c r="B131" s="51" t="s">
        <v>654</v>
      </c>
      <c r="C131" s="62"/>
      <c r="D131" s="63" t="s">
        <v>912</v>
      </c>
      <c r="E131" s="63" t="s">
        <v>912</v>
      </c>
      <c r="F131" s="63" t="s">
        <v>913</v>
      </c>
    </row>
    <row r="132" spans="1:7">
      <c r="A132" s="51" t="s">
        <v>294</v>
      </c>
      <c r="B132" s="51" t="s">
        <v>654</v>
      </c>
      <c r="C132" s="62"/>
      <c r="D132" s="63" t="s">
        <v>912</v>
      </c>
      <c r="E132" s="63" t="s">
        <v>912</v>
      </c>
      <c r="F132" s="63" t="s">
        <v>913</v>
      </c>
    </row>
    <row r="137" spans="1:7">
      <c r="A137" s="58" t="s">
        <v>910</v>
      </c>
      <c r="C137" s="60" t="s">
        <v>911</v>
      </c>
      <c r="D137" s="59"/>
    </row>
    <row r="138" spans="1:7">
      <c r="A138" s="64" t="s">
        <v>963</v>
      </c>
      <c r="C138" s="65" t="s">
        <v>932</v>
      </c>
      <c r="D138" s="59"/>
    </row>
    <row r="139" spans="1:7" ht="25.5">
      <c r="A139" s="64" t="s">
        <v>964</v>
      </c>
      <c r="C139" s="65" t="s">
        <v>933</v>
      </c>
      <c r="D139" s="59"/>
    </row>
    <row r="140" spans="1:7">
      <c r="A140" s="64" t="s">
        <v>965</v>
      </c>
      <c r="C140" s="65" t="s">
        <v>934</v>
      </c>
      <c r="D140" s="59"/>
    </row>
    <row r="141" spans="1:7" ht="25.5">
      <c r="A141" s="64" t="s">
        <v>966</v>
      </c>
      <c r="C141" s="65" t="s">
        <v>935</v>
      </c>
      <c r="D141" s="59"/>
    </row>
    <row r="142" spans="1:7">
      <c r="A142" s="64" t="s">
        <v>967</v>
      </c>
      <c r="C142" s="65" t="s">
        <v>936</v>
      </c>
      <c r="D142" s="59"/>
    </row>
    <row r="143" spans="1:7">
      <c r="A143" s="64" t="s">
        <v>959</v>
      </c>
      <c r="C143" s="65" t="s">
        <v>937</v>
      </c>
      <c r="D143" s="59"/>
    </row>
    <row r="144" spans="1:7">
      <c r="A144" s="64" t="s">
        <v>978</v>
      </c>
      <c r="C144" s="65" t="s">
        <v>938</v>
      </c>
      <c r="D144" s="59"/>
    </row>
    <row r="145" spans="1:4">
      <c r="A145" s="64" t="s">
        <v>951</v>
      </c>
      <c r="C145" s="65" t="s">
        <v>939</v>
      </c>
      <c r="D145" s="59"/>
    </row>
    <row r="146" spans="1:4" ht="25.5">
      <c r="A146" s="64" t="s">
        <v>952</v>
      </c>
      <c r="C146" s="65" t="s">
        <v>940</v>
      </c>
      <c r="D146" s="59"/>
    </row>
    <row r="147" spans="1:4">
      <c r="A147" s="64" t="s">
        <v>960</v>
      </c>
      <c r="C147" s="65" t="s">
        <v>941</v>
      </c>
      <c r="D147" s="59"/>
    </row>
    <row r="148" spans="1:4">
      <c r="A148" s="64" t="s">
        <v>945</v>
      </c>
      <c r="C148" s="65" t="s">
        <v>942</v>
      </c>
      <c r="D148" s="59"/>
    </row>
    <row r="149" spans="1:4">
      <c r="A149" s="64" t="s">
        <v>946</v>
      </c>
      <c r="C149" s="65" t="s">
        <v>943</v>
      </c>
      <c r="D149" s="59"/>
    </row>
    <row r="150" spans="1:4">
      <c r="A150" s="64" t="s">
        <v>947</v>
      </c>
      <c r="C150" s="59"/>
      <c r="D150" s="59"/>
    </row>
    <row r="151" spans="1:4">
      <c r="A151" s="64" t="s">
        <v>948</v>
      </c>
      <c r="C151" s="59"/>
      <c r="D151" s="59"/>
    </row>
    <row r="152" spans="1:4">
      <c r="A152" s="64" t="s">
        <v>949</v>
      </c>
      <c r="C152" s="59"/>
      <c r="D152" s="59"/>
    </row>
    <row r="153" spans="1:4">
      <c r="A153" s="64" t="s">
        <v>950</v>
      </c>
      <c r="C153" s="59"/>
      <c r="D153" s="59"/>
    </row>
    <row r="154" spans="1:4">
      <c r="A154" s="64" t="s">
        <v>958</v>
      </c>
      <c r="C154" s="59"/>
      <c r="D154" s="59"/>
    </row>
    <row r="155" spans="1:4">
      <c r="A155" s="64" t="s">
        <v>953</v>
      </c>
      <c r="C155" s="59"/>
      <c r="D155" s="59"/>
    </row>
    <row r="156" spans="1:4">
      <c r="A156" s="64" t="s">
        <v>956</v>
      </c>
      <c r="C156" s="59"/>
      <c r="D156" s="59"/>
    </row>
    <row r="157" spans="1:4">
      <c r="A157" s="64" t="s">
        <v>961</v>
      </c>
      <c r="C157" s="59"/>
      <c r="D157" s="59"/>
    </row>
    <row r="158" spans="1:4">
      <c r="A158" s="64" t="s">
        <v>962</v>
      </c>
      <c r="C158" s="59"/>
      <c r="D158" s="59"/>
    </row>
    <row r="159" spans="1:4">
      <c r="A159" s="64" t="s">
        <v>957</v>
      </c>
      <c r="C159" s="59"/>
      <c r="D159" s="59"/>
    </row>
    <row r="160" spans="1:4">
      <c r="A160" s="64" t="s">
        <v>954</v>
      </c>
      <c r="C160" s="59"/>
      <c r="D160" s="59"/>
    </row>
    <row r="161" spans="1:4">
      <c r="A161" s="64" t="s">
        <v>955</v>
      </c>
      <c r="C161" s="59"/>
      <c r="D161" s="59"/>
    </row>
    <row r="162" spans="1:4">
      <c r="A162" s="66"/>
      <c r="C162" s="59"/>
      <c r="D162" s="59"/>
    </row>
    <row r="163" spans="1:4">
      <c r="A163" s="66"/>
      <c r="C163" s="59"/>
      <c r="D163" s="59"/>
    </row>
    <row r="164" spans="1:4">
      <c r="A164" s="66"/>
      <c r="C164" s="59"/>
      <c r="D164" s="59"/>
    </row>
    <row r="165" spans="1:4">
      <c r="A165" s="66"/>
      <c r="C165" s="59"/>
      <c r="D165" s="59"/>
    </row>
    <row r="166" spans="1:4">
      <c r="A166" s="66"/>
      <c r="C166" s="59"/>
      <c r="D166" s="59"/>
    </row>
    <row r="167" spans="1:4">
      <c r="C167" s="59"/>
      <c r="D167" s="59"/>
    </row>
    <row r="168" spans="1:4">
      <c r="A168" s="66"/>
      <c r="C168" s="59"/>
      <c r="D168" s="59"/>
    </row>
    <row r="169" spans="1:4">
      <c r="A169" s="66"/>
      <c r="C169" s="59"/>
      <c r="D169" s="59"/>
    </row>
    <row r="170" spans="1:4">
      <c r="A170" s="66"/>
      <c r="C170" s="59"/>
      <c r="D170" s="59"/>
    </row>
    <row r="171" spans="1:4">
      <c r="C171" s="59"/>
      <c r="D171" s="59"/>
    </row>
    <row r="172" spans="1:4">
      <c r="C172" s="59"/>
      <c r="D172" s="59"/>
    </row>
    <row r="173" spans="1:4">
      <c r="A173" s="66"/>
      <c r="C173" s="59"/>
      <c r="D173" s="59"/>
    </row>
    <row r="174" spans="1:4">
      <c r="A174" s="66"/>
      <c r="C174" s="59"/>
      <c r="D174" s="59"/>
    </row>
    <row r="175" spans="1:4">
      <c r="C175" s="59"/>
      <c r="D175" s="59"/>
    </row>
    <row r="176" spans="1:4">
      <c r="C176" s="59"/>
      <c r="D176" s="59"/>
    </row>
    <row r="177" spans="1:4">
      <c r="C177" s="59"/>
      <c r="D177" s="59"/>
    </row>
    <row r="178" spans="1:4">
      <c r="C178" s="59"/>
      <c r="D178" s="59"/>
    </row>
    <row r="179" spans="1:4">
      <c r="A179" s="66"/>
      <c r="C179" s="59"/>
      <c r="D179" s="59"/>
    </row>
    <row r="180" spans="1:4">
      <c r="A180" s="66"/>
      <c r="C180" s="59"/>
      <c r="D180" s="59"/>
    </row>
    <row r="181" spans="1:4">
      <c r="A181" s="66"/>
      <c r="C181" s="59"/>
      <c r="D181" s="59"/>
    </row>
    <row r="182" spans="1:4">
      <c r="A182" s="66"/>
      <c r="C182" s="59"/>
      <c r="D182" s="59"/>
    </row>
    <row r="183" spans="1:4">
      <c r="A183" s="66"/>
      <c r="C183" s="59"/>
      <c r="D183" s="59"/>
    </row>
    <row r="184" spans="1:4">
      <c r="A184" s="66"/>
      <c r="C184" s="59"/>
      <c r="D184" s="59"/>
    </row>
    <row r="185" spans="1:4">
      <c r="A185" s="66"/>
      <c r="C185" s="59"/>
      <c r="D185" s="59"/>
    </row>
    <row r="186" spans="1:4">
      <c r="A186" s="66"/>
      <c r="C186" s="59"/>
      <c r="D186" s="59"/>
    </row>
    <row r="187" spans="1:4">
      <c r="A187" s="66"/>
      <c r="C187" s="59"/>
      <c r="D187" s="59"/>
    </row>
    <row r="188" spans="1:4">
      <c r="A188" s="66"/>
      <c r="C188" s="59"/>
      <c r="D188" s="59"/>
    </row>
    <row r="189" spans="1:4">
      <c r="C189" s="59"/>
      <c r="D189" s="59"/>
    </row>
    <row r="190" spans="1:4">
      <c r="C190" s="59"/>
      <c r="D190" s="59"/>
    </row>
    <row r="191" spans="1:4">
      <c r="C191" s="59"/>
      <c r="D191" s="59"/>
    </row>
    <row r="192" spans="1:4">
      <c r="C192" s="59"/>
      <c r="D192" s="59"/>
    </row>
    <row r="193" spans="1:4">
      <c r="C193" s="59"/>
      <c r="D193" s="59"/>
    </row>
    <row r="194" spans="1:4">
      <c r="C194" s="59"/>
      <c r="D194" s="59"/>
    </row>
    <row r="195" spans="1:4">
      <c r="C195" s="59"/>
      <c r="D195" s="59"/>
    </row>
    <row r="196" spans="1:4">
      <c r="C196" s="59"/>
      <c r="D196" s="59"/>
    </row>
    <row r="197" spans="1:4">
      <c r="C197" s="59"/>
      <c r="D197" s="59"/>
    </row>
    <row r="198" spans="1:4">
      <c r="C198" s="59"/>
      <c r="D198" s="59"/>
    </row>
    <row r="199" spans="1:4">
      <c r="C199" s="59"/>
      <c r="D199" s="59"/>
    </row>
    <row r="200" spans="1:4">
      <c r="A200" s="66"/>
      <c r="C200" s="59"/>
      <c r="D200" s="59"/>
    </row>
    <row r="201" spans="1:4">
      <c r="A201" s="66"/>
      <c r="C201" s="59"/>
      <c r="D201" s="59"/>
    </row>
    <row r="202" spans="1:4">
      <c r="A202" s="66"/>
      <c r="C202" s="59"/>
      <c r="D202" s="59"/>
    </row>
    <row r="203" spans="1:4">
      <c r="A203" s="66"/>
      <c r="C203" s="59"/>
      <c r="D203" s="59"/>
    </row>
    <row r="204" spans="1:4">
      <c r="A204" s="64"/>
      <c r="C204" s="59"/>
      <c r="D204" s="59"/>
    </row>
    <row r="205" spans="1:4">
      <c r="A205" s="66"/>
      <c r="C205" s="59"/>
      <c r="D205" s="59"/>
    </row>
    <row r="206" spans="1:4">
      <c r="A206" s="66"/>
      <c r="C206" s="59"/>
      <c r="D206" s="59"/>
    </row>
    <row r="207" spans="1:4">
      <c r="A207" s="64"/>
      <c r="B207" s="69"/>
      <c r="C207" s="59"/>
      <c r="D207" s="59"/>
    </row>
    <row r="208" spans="1:4">
      <c r="A208" s="66"/>
      <c r="B208" s="70"/>
      <c r="C208" s="59"/>
      <c r="D208" s="59"/>
    </row>
    <row r="209" spans="1:4">
      <c r="A209" s="66"/>
      <c r="B209" s="70"/>
      <c r="C209" s="59"/>
      <c r="D209" s="59"/>
    </row>
    <row r="210" spans="1:4">
      <c r="A210" s="66"/>
      <c r="B210" s="70"/>
      <c r="C210" s="59"/>
      <c r="D210" s="59"/>
    </row>
    <row r="211" spans="1:4">
      <c r="B211" s="70"/>
      <c r="C211" s="59"/>
      <c r="D211" s="59"/>
    </row>
    <row r="212" spans="1:4">
      <c r="A212" s="66"/>
      <c r="C212" s="59"/>
      <c r="D212" s="59"/>
    </row>
    <row r="213" spans="1:4">
      <c r="C213" s="59"/>
      <c r="D213" s="59"/>
    </row>
    <row r="214" spans="1:4">
      <c r="B214" s="69"/>
      <c r="C214" s="59"/>
      <c r="D214" s="59"/>
    </row>
    <row r="215" spans="1:4">
      <c r="A215" s="66"/>
      <c r="C215" s="59"/>
      <c r="D215" s="59"/>
    </row>
    <row r="216" spans="1:4">
      <c r="B216" s="69"/>
      <c r="C216" s="59"/>
      <c r="D216" s="59"/>
    </row>
    <row r="217" spans="1:4">
      <c r="A217" s="66"/>
      <c r="C217" s="59"/>
      <c r="D217" s="59"/>
    </row>
    <row r="218" spans="1:4">
      <c r="A218" s="66"/>
      <c r="C218" s="59"/>
      <c r="D218" s="59"/>
    </row>
    <row r="219" spans="1:4">
      <c r="A219" s="66"/>
      <c r="C219" s="59"/>
      <c r="D219" s="59"/>
    </row>
    <row r="220" spans="1:4">
      <c r="A220" s="66"/>
      <c r="C220" s="59"/>
      <c r="D220" s="59"/>
    </row>
    <row r="221" spans="1:4">
      <c r="A221" s="66"/>
      <c r="C221" s="59"/>
      <c r="D221" s="59"/>
    </row>
    <row r="222" spans="1:4">
      <c r="A222" s="66"/>
      <c r="C222" s="59"/>
      <c r="D222" s="59"/>
    </row>
    <row r="223" spans="1:4">
      <c r="C223" s="59"/>
      <c r="D223" s="59"/>
    </row>
    <row r="224" spans="1:4">
      <c r="C224" s="59"/>
      <c r="D224" s="59"/>
    </row>
    <row r="225" spans="3:4">
      <c r="C225" s="59"/>
      <c r="D225" s="59"/>
    </row>
    <row r="226" spans="3:4">
      <c r="C226" s="59"/>
      <c r="D226" s="59"/>
    </row>
    <row r="227" spans="3:4">
      <c r="C227" s="59"/>
      <c r="D227" s="59"/>
    </row>
    <row r="228" spans="3:4">
      <c r="C228" s="59"/>
      <c r="D228" s="59"/>
    </row>
    <row r="229" spans="3:4">
      <c r="C229" s="59"/>
      <c r="D229" s="59"/>
    </row>
    <row r="230" spans="3:4">
      <c r="C230" s="59"/>
      <c r="D230" s="59"/>
    </row>
    <row r="231" spans="3:4">
      <c r="C231" s="59"/>
      <c r="D231" s="59"/>
    </row>
    <row r="232" spans="3:4">
      <c r="C232" s="59"/>
      <c r="D232" s="59"/>
    </row>
    <row r="233" spans="3:4">
      <c r="C233" s="59"/>
      <c r="D233" s="59"/>
    </row>
    <row r="234" spans="3:4">
      <c r="C234" s="59"/>
      <c r="D234" s="59"/>
    </row>
    <row r="235" spans="3:4">
      <c r="C235" s="59"/>
      <c r="D235" s="59"/>
    </row>
    <row r="236" spans="3:4">
      <c r="C236" s="59"/>
      <c r="D236" s="59"/>
    </row>
    <row r="237" spans="3:4">
      <c r="C237" s="59"/>
      <c r="D237" s="59"/>
    </row>
    <row r="238" spans="3:4">
      <c r="C238" s="59"/>
      <c r="D238" s="59"/>
    </row>
    <row r="239" spans="3:4">
      <c r="C239" s="59"/>
      <c r="D239" s="59"/>
    </row>
    <row r="240" spans="3:4">
      <c r="C240" s="59"/>
      <c r="D240" s="59"/>
    </row>
    <row r="241" spans="3:4">
      <c r="C241" s="59"/>
      <c r="D241" s="59"/>
    </row>
    <row r="242" spans="3:4">
      <c r="C242" s="59"/>
      <c r="D242" s="59"/>
    </row>
    <row r="243" spans="3:4">
      <c r="C243" s="59"/>
      <c r="D243" s="59"/>
    </row>
    <row r="244" spans="3:4">
      <c r="C244" s="59"/>
      <c r="D244" s="59"/>
    </row>
    <row r="245" spans="3:4">
      <c r="C245" s="59"/>
      <c r="D245" s="59"/>
    </row>
    <row r="246" spans="3:4">
      <c r="D246" s="59"/>
    </row>
  </sheetData>
  <sheetProtection password="8725" sheet="1" objects="1" scenarios="1"/>
  <autoFilter ref="A1:F133">
    <sortState ref="A7:F131">
      <sortCondition ref="F1:F134"/>
    </sortState>
  </autoFilter>
  <sortState ref="A138:A161">
    <sortCondition ref="A161"/>
  </sortState>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W155"/>
  <sheetViews>
    <sheetView zoomScale="80" zoomScaleNormal="80" zoomScaleSheetLayoutView="80" workbookViewId="0">
      <selection activeCell="D8" sqref="D8"/>
    </sheetView>
  </sheetViews>
  <sheetFormatPr defaultRowHeight="12.75"/>
  <cols>
    <col min="1" max="1" width="27.140625" style="74" customWidth="1"/>
    <col min="2" max="2" width="32.28515625" style="74" customWidth="1"/>
    <col min="3" max="3" width="45.42578125" style="74" customWidth="1"/>
    <col min="4" max="4" width="14" style="74" customWidth="1"/>
    <col min="5" max="5" width="27.85546875" style="74" customWidth="1"/>
    <col min="6" max="11" width="9.140625" style="74"/>
    <col min="12" max="12" width="4.85546875" style="74" customWidth="1"/>
    <col min="13" max="19" width="9.140625" style="74"/>
    <col min="20" max="20" width="9.7109375" style="74" customWidth="1"/>
    <col min="21" max="21" width="10.85546875" style="74" customWidth="1"/>
    <col min="22" max="16384" width="9.140625" style="74"/>
  </cols>
  <sheetData>
    <row r="1" spans="1:23" s="121" customFormat="1" ht="30.75" customHeight="1">
      <c r="A1" s="119" t="s">
        <v>1379</v>
      </c>
      <c r="B1" s="120"/>
      <c r="C1" s="120"/>
      <c r="D1" s="120"/>
      <c r="E1" s="120"/>
      <c r="F1" s="120"/>
      <c r="G1" s="120"/>
      <c r="H1" s="120"/>
      <c r="I1" s="120"/>
      <c r="J1" s="120"/>
      <c r="K1" s="120"/>
      <c r="L1" s="120"/>
      <c r="M1" s="120"/>
      <c r="N1" s="120"/>
      <c r="O1" s="120"/>
      <c r="P1" s="120"/>
      <c r="Q1" s="120"/>
      <c r="R1" s="120"/>
      <c r="S1" s="120"/>
      <c r="T1" s="120"/>
      <c r="U1" s="120"/>
      <c r="V1" s="120"/>
      <c r="W1" s="120"/>
    </row>
    <row r="2" spans="1:23">
      <c r="A2" s="3"/>
      <c r="D2" s="3"/>
    </row>
    <row r="3" spans="1:23" ht="9" customHeight="1">
      <c r="A3" s="3"/>
    </row>
    <row r="4" spans="1:23" ht="19.5" customHeight="1">
      <c r="A4" s="390" t="s">
        <v>161</v>
      </c>
      <c r="B4" s="390"/>
      <c r="C4" s="390"/>
      <c r="D4" s="390"/>
      <c r="E4" s="390"/>
    </row>
    <row r="5" spans="1:23" ht="83.25" customHeight="1">
      <c r="A5" s="391" t="s">
        <v>1042</v>
      </c>
      <c r="B5" s="391"/>
      <c r="C5" s="391"/>
      <c r="D5" s="391"/>
      <c r="E5" s="391"/>
    </row>
    <row r="6" spans="1:23" ht="12.75" customHeight="1"/>
    <row r="7" spans="1:23">
      <c r="A7" s="78"/>
      <c r="B7" s="190" t="s">
        <v>392</v>
      </c>
    </row>
    <row r="8" spans="1:23" ht="52.5" customHeight="1">
      <c r="A8" s="78" t="s">
        <v>391</v>
      </c>
      <c r="B8" s="79">
        <v>6.7499999999999999E-3</v>
      </c>
    </row>
    <row r="9" spans="1:23">
      <c r="A9" s="3"/>
    </row>
    <row r="10" spans="1:23" ht="21.75" customHeight="1">
      <c r="A10" s="392" t="s">
        <v>641</v>
      </c>
      <c r="B10" s="392"/>
      <c r="C10" s="392"/>
      <c r="D10" s="392"/>
      <c r="E10" s="392"/>
    </row>
    <row r="11" spans="1:23">
      <c r="A11" s="80" t="s">
        <v>25</v>
      </c>
      <c r="B11" s="81"/>
      <c r="C11" s="81"/>
    </row>
    <row r="12" spans="1:23" ht="63.75">
      <c r="A12" s="395" t="s">
        <v>979</v>
      </c>
      <c r="B12" s="395"/>
      <c r="C12" s="72" t="s">
        <v>980</v>
      </c>
      <c r="D12" s="22" t="s">
        <v>1294</v>
      </c>
      <c r="E12" s="23" t="s">
        <v>19</v>
      </c>
      <c r="F12" s="81"/>
    </row>
    <row r="13" spans="1:23">
      <c r="A13" s="5"/>
      <c r="B13" s="82"/>
      <c r="C13" s="5"/>
      <c r="D13" s="6"/>
      <c r="E13" s="7"/>
      <c r="F13" s="81"/>
    </row>
    <row r="14" spans="1:23">
      <c r="A14" s="13" t="s">
        <v>652</v>
      </c>
      <c r="B14" s="81"/>
      <c r="C14" s="9"/>
      <c r="D14" s="83"/>
      <c r="E14" s="81"/>
    </row>
    <row r="15" spans="1:23">
      <c r="A15" s="51" t="s">
        <v>20</v>
      </c>
      <c r="B15" s="51" t="s">
        <v>21</v>
      </c>
      <c r="C15" s="238" t="s">
        <v>1196</v>
      </c>
      <c r="D15" s="84">
        <v>1.7</v>
      </c>
      <c r="E15" s="51" t="s">
        <v>24</v>
      </c>
    </row>
    <row r="16" spans="1:23">
      <c r="A16" s="51" t="s">
        <v>22</v>
      </c>
      <c r="B16" s="51" t="s">
        <v>2</v>
      </c>
      <c r="C16" s="243" t="s">
        <v>1290</v>
      </c>
      <c r="D16" s="84">
        <v>0</v>
      </c>
      <c r="E16" s="51" t="s">
        <v>24</v>
      </c>
    </row>
    <row r="17" spans="1:9">
      <c r="A17" s="51" t="s">
        <v>23</v>
      </c>
      <c r="B17" s="51" t="s">
        <v>0</v>
      </c>
      <c r="C17" s="243" t="s">
        <v>1099</v>
      </c>
      <c r="D17" s="84">
        <v>0.6</v>
      </c>
      <c r="E17" s="51" t="s">
        <v>24</v>
      </c>
    </row>
    <row r="18" spans="1:9">
      <c r="A18" s="51"/>
      <c r="B18" s="51"/>
      <c r="C18" s="349" t="s">
        <v>1291</v>
      </c>
      <c r="D18" s="25">
        <f>SUM(D15:D17)</f>
        <v>2.2999999999999998</v>
      </c>
      <c r="E18" s="51"/>
    </row>
    <row r="19" spans="1:9" s="81" customFormat="1">
      <c r="C19" s="86"/>
      <c r="D19" s="87"/>
    </row>
    <row r="20" spans="1:9">
      <c r="A20" s="4" t="s">
        <v>653</v>
      </c>
      <c r="B20" s="81"/>
      <c r="C20" s="11"/>
      <c r="D20" s="87"/>
      <c r="E20" s="81"/>
    </row>
    <row r="21" spans="1:9">
      <c r="A21" s="51" t="s">
        <v>27</v>
      </c>
      <c r="B21" s="51" t="s">
        <v>28</v>
      </c>
      <c r="C21" s="243" t="s">
        <v>1003</v>
      </c>
      <c r="D21" s="88">
        <v>0.7</v>
      </c>
      <c r="E21" s="51" t="s">
        <v>24</v>
      </c>
      <c r="I21" s="89"/>
    </row>
    <row r="22" spans="1:9">
      <c r="A22" s="51" t="s">
        <v>29</v>
      </c>
      <c r="B22" s="51" t="s">
        <v>30</v>
      </c>
      <c r="C22" s="243" t="s">
        <v>1003</v>
      </c>
      <c r="D22" s="84">
        <v>0</v>
      </c>
      <c r="E22" s="51" t="s">
        <v>24</v>
      </c>
      <c r="I22" s="87"/>
    </row>
    <row r="23" spans="1:9">
      <c r="A23" s="51" t="s">
        <v>31</v>
      </c>
      <c r="B23" s="51" t="s">
        <v>32</v>
      </c>
      <c r="C23" s="243" t="s">
        <v>1004</v>
      </c>
      <c r="D23" s="84">
        <v>0.8</v>
      </c>
      <c r="E23" s="51" t="s">
        <v>24</v>
      </c>
      <c r="I23" s="87"/>
    </row>
    <row r="24" spans="1:9">
      <c r="A24" s="51" t="s">
        <v>33</v>
      </c>
      <c r="B24" s="51" t="s">
        <v>34</v>
      </c>
      <c r="C24" s="243" t="s">
        <v>1004</v>
      </c>
      <c r="D24" s="84">
        <v>0.6</v>
      </c>
      <c r="E24" s="51" t="s">
        <v>24</v>
      </c>
      <c r="I24" s="87"/>
    </row>
    <row r="25" spans="1:9">
      <c r="A25" s="51" t="s">
        <v>35</v>
      </c>
      <c r="B25" s="51" t="s">
        <v>36</v>
      </c>
      <c r="C25" s="243" t="s">
        <v>1083</v>
      </c>
      <c r="D25" s="88">
        <v>0.5</v>
      </c>
      <c r="E25" s="51" t="s">
        <v>24</v>
      </c>
      <c r="I25" s="89"/>
    </row>
    <row r="26" spans="1:9">
      <c r="A26" s="51" t="s">
        <v>37</v>
      </c>
      <c r="B26" s="51" t="s">
        <v>38</v>
      </c>
      <c r="C26" s="243" t="s">
        <v>1083</v>
      </c>
      <c r="D26" s="88">
        <v>0</v>
      </c>
      <c r="E26" s="51" t="s">
        <v>24</v>
      </c>
      <c r="I26" s="89"/>
    </row>
    <row r="27" spans="1:9">
      <c r="A27" s="51" t="s">
        <v>39</v>
      </c>
      <c r="B27" s="51" t="s">
        <v>40</v>
      </c>
      <c r="C27" s="243" t="s">
        <v>1083</v>
      </c>
      <c r="D27" s="88">
        <v>0</v>
      </c>
      <c r="E27" s="51" t="s">
        <v>24</v>
      </c>
      <c r="I27" s="89"/>
    </row>
    <row r="28" spans="1:9">
      <c r="A28" s="51" t="s">
        <v>41</v>
      </c>
      <c r="B28" s="51" t="s">
        <v>42</v>
      </c>
      <c r="C28" s="243" t="s">
        <v>1072</v>
      </c>
      <c r="D28" s="88">
        <v>0.7</v>
      </c>
      <c r="E28" s="51" t="s">
        <v>24</v>
      </c>
      <c r="I28" s="89"/>
    </row>
    <row r="29" spans="1:9">
      <c r="A29" s="51" t="s">
        <v>43</v>
      </c>
      <c r="B29" s="51" t="s">
        <v>44</v>
      </c>
      <c r="C29" s="243" t="s">
        <v>1076</v>
      </c>
      <c r="D29" s="88">
        <v>0</v>
      </c>
      <c r="E29" s="51" t="s">
        <v>24</v>
      </c>
      <c r="I29" s="89"/>
    </row>
    <row r="30" spans="1:9">
      <c r="A30" s="51" t="s">
        <v>45</v>
      </c>
      <c r="B30" s="51" t="s">
        <v>46</v>
      </c>
      <c r="C30" s="243" t="s">
        <v>1006</v>
      </c>
      <c r="D30" s="88">
        <v>0.2</v>
      </c>
      <c r="E30" s="51" t="s">
        <v>24</v>
      </c>
      <c r="I30" s="89"/>
    </row>
    <row r="31" spans="1:9">
      <c r="A31" s="51" t="s">
        <v>47</v>
      </c>
      <c r="B31" s="51" t="s">
        <v>48</v>
      </c>
      <c r="C31" s="243" t="s">
        <v>1041</v>
      </c>
      <c r="D31" s="88">
        <v>16.7</v>
      </c>
      <c r="E31" s="51" t="s">
        <v>24</v>
      </c>
      <c r="I31" s="89"/>
    </row>
    <row r="32" spans="1:9">
      <c r="A32" s="51" t="s">
        <v>49</v>
      </c>
      <c r="B32" s="51" t="s">
        <v>50</v>
      </c>
      <c r="C32" s="243" t="s">
        <v>988</v>
      </c>
      <c r="D32" s="88">
        <v>0</v>
      </c>
      <c r="E32" s="51" t="s">
        <v>24</v>
      </c>
      <c r="I32" s="89"/>
    </row>
    <row r="33" spans="1:9">
      <c r="A33" s="51" t="s">
        <v>51</v>
      </c>
      <c r="B33" s="51" t="s">
        <v>52</v>
      </c>
      <c r="C33" s="243" t="s">
        <v>988</v>
      </c>
      <c r="D33" s="88">
        <v>0.8</v>
      </c>
      <c r="E33" s="51" t="s">
        <v>24</v>
      </c>
      <c r="I33" s="89"/>
    </row>
    <row r="34" spans="1:9">
      <c r="A34" s="51" t="s">
        <v>53</v>
      </c>
      <c r="B34" s="51" t="s">
        <v>54</v>
      </c>
      <c r="C34" s="243" t="s">
        <v>988</v>
      </c>
      <c r="D34" s="88">
        <v>0.2</v>
      </c>
      <c r="E34" s="51" t="s">
        <v>24</v>
      </c>
      <c r="I34" s="89"/>
    </row>
    <row r="35" spans="1:9">
      <c r="A35" s="51" t="s">
        <v>55</v>
      </c>
      <c r="B35" s="51" t="s">
        <v>56</v>
      </c>
      <c r="C35" s="243" t="s">
        <v>988</v>
      </c>
      <c r="D35" s="88">
        <v>0.3</v>
      </c>
      <c r="E35" s="51" t="s">
        <v>24</v>
      </c>
      <c r="I35" s="89"/>
    </row>
    <row r="36" spans="1:9">
      <c r="A36" s="51" t="s">
        <v>57</v>
      </c>
      <c r="B36" s="51" t="s">
        <v>58</v>
      </c>
      <c r="C36" s="243" t="s">
        <v>988</v>
      </c>
      <c r="D36" s="88">
        <v>0.3</v>
      </c>
      <c r="E36" s="51" t="s">
        <v>24</v>
      </c>
      <c r="I36" s="89"/>
    </row>
    <row r="37" spans="1:9">
      <c r="A37" s="51" t="s">
        <v>59</v>
      </c>
      <c r="B37" s="51" t="s">
        <v>60</v>
      </c>
      <c r="C37" s="243" t="s">
        <v>988</v>
      </c>
      <c r="D37" s="88">
        <v>0</v>
      </c>
      <c r="E37" s="51" t="s">
        <v>24</v>
      </c>
      <c r="I37" s="89"/>
    </row>
    <row r="38" spans="1:9">
      <c r="A38" s="51" t="s">
        <v>1363</v>
      </c>
      <c r="B38" s="51" t="s">
        <v>61</v>
      </c>
      <c r="C38" s="243" t="s">
        <v>988</v>
      </c>
      <c r="D38" s="88">
        <v>0</v>
      </c>
      <c r="E38" s="51" t="s">
        <v>24</v>
      </c>
      <c r="I38" s="89"/>
    </row>
    <row r="39" spans="1:9">
      <c r="A39" s="51" t="s">
        <v>62</v>
      </c>
      <c r="B39" s="51" t="s">
        <v>63</v>
      </c>
      <c r="C39" s="243" t="s">
        <v>988</v>
      </c>
      <c r="D39" s="88">
        <v>0</v>
      </c>
      <c r="E39" s="51" t="s">
        <v>24</v>
      </c>
      <c r="I39" s="89"/>
    </row>
    <row r="40" spans="1:9">
      <c r="A40" s="51" t="s">
        <v>64</v>
      </c>
      <c r="B40" s="51" t="s">
        <v>65</v>
      </c>
      <c r="C40" s="243" t="s">
        <v>988</v>
      </c>
      <c r="D40" s="88">
        <v>0</v>
      </c>
      <c r="E40" s="51" t="s">
        <v>24</v>
      </c>
      <c r="I40" s="89"/>
    </row>
    <row r="41" spans="1:9">
      <c r="A41" s="51" t="s">
        <v>66</v>
      </c>
      <c r="B41" s="51" t="s">
        <v>67</v>
      </c>
      <c r="C41" s="243" t="s">
        <v>988</v>
      </c>
      <c r="D41" s="88">
        <v>0</v>
      </c>
      <c r="E41" s="51" t="s">
        <v>24</v>
      </c>
      <c r="I41" s="89"/>
    </row>
    <row r="42" spans="1:9">
      <c r="A42" s="51" t="s">
        <v>68</v>
      </c>
      <c r="B42" s="51" t="s">
        <v>69</v>
      </c>
      <c r="C42" s="243" t="s">
        <v>988</v>
      </c>
      <c r="D42" s="88">
        <v>0</v>
      </c>
      <c r="E42" s="51" t="s">
        <v>24</v>
      </c>
      <c r="I42" s="89"/>
    </row>
    <row r="43" spans="1:9">
      <c r="A43" s="51" t="s">
        <v>70</v>
      </c>
      <c r="B43" s="51" t="s">
        <v>71</v>
      </c>
      <c r="C43" s="243" t="s">
        <v>988</v>
      </c>
      <c r="D43" s="88">
        <v>0</v>
      </c>
      <c r="E43" s="51" t="s">
        <v>24</v>
      </c>
      <c r="I43" s="89"/>
    </row>
    <row r="44" spans="1:9">
      <c r="A44" s="51" t="s">
        <v>72</v>
      </c>
      <c r="B44" s="51" t="s">
        <v>73</v>
      </c>
      <c r="C44" s="243" t="s">
        <v>988</v>
      </c>
      <c r="D44" s="88">
        <v>0.3</v>
      </c>
      <c r="E44" s="51" t="s">
        <v>24</v>
      </c>
      <c r="I44" s="89"/>
    </row>
    <row r="45" spans="1:9">
      <c r="A45" s="51" t="s">
        <v>74</v>
      </c>
      <c r="B45" s="51" t="s">
        <v>75</v>
      </c>
      <c r="C45" s="243" t="s">
        <v>988</v>
      </c>
      <c r="D45" s="88">
        <v>0.3</v>
      </c>
      <c r="E45" s="51" t="s">
        <v>24</v>
      </c>
      <c r="I45" s="89"/>
    </row>
    <row r="46" spans="1:9">
      <c r="A46" s="51" t="s">
        <v>76</v>
      </c>
      <c r="B46" s="51" t="s">
        <v>77</v>
      </c>
      <c r="C46" s="243" t="s">
        <v>988</v>
      </c>
      <c r="D46" s="88">
        <v>0.3</v>
      </c>
      <c r="E46" s="51" t="s">
        <v>24</v>
      </c>
      <c r="I46" s="89"/>
    </row>
    <row r="47" spans="1:9">
      <c r="A47" s="51" t="s">
        <v>78</v>
      </c>
      <c r="B47" s="51" t="s">
        <v>79</v>
      </c>
      <c r="C47" s="243" t="s">
        <v>988</v>
      </c>
      <c r="D47" s="88">
        <v>0.2</v>
      </c>
      <c r="E47" s="51" t="s">
        <v>24</v>
      </c>
      <c r="I47" s="89"/>
    </row>
    <row r="48" spans="1:9">
      <c r="A48" s="51" t="s">
        <v>1364</v>
      </c>
      <c r="B48" s="51" t="s">
        <v>80</v>
      </c>
      <c r="C48" s="243" t="s">
        <v>988</v>
      </c>
      <c r="D48" s="88">
        <v>0.3</v>
      </c>
      <c r="E48" s="51" t="s">
        <v>24</v>
      </c>
      <c r="I48" s="89"/>
    </row>
    <row r="49" spans="1:12">
      <c r="A49" s="51" t="s">
        <v>81</v>
      </c>
      <c r="B49" s="51" t="s">
        <v>82</v>
      </c>
      <c r="C49" s="243" t="s">
        <v>988</v>
      </c>
      <c r="D49" s="88">
        <v>0</v>
      </c>
      <c r="E49" s="51" t="s">
        <v>24</v>
      </c>
      <c r="I49" s="89"/>
    </row>
    <row r="50" spans="1:12">
      <c r="A50" s="51" t="s">
        <v>83</v>
      </c>
      <c r="B50" s="51" t="s">
        <v>84</v>
      </c>
      <c r="C50" s="243" t="s">
        <v>988</v>
      </c>
      <c r="D50" s="88">
        <v>0</v>
      </c>
      <c r="E50" s="51" t="s">
        <v>24</v>
      </c>
      <c r="F50" s="81"/>
      <c r="I50" s="89"/>
    </row>
    <row r="51" spans="1:12">
      <c r="A51" s="51" t="s">
        <v>85</v>
      </c>
      <c r="B51" s="51" t="s">
        <v>86</v>
      </c>
      <c r="C51" s="243" t="s">
        <v>988</v>
      </c>
      <c r="D51" s="88">
        <v>0.1</v>
      </c>
      <c r="E51" s="51" t="s">
        <v>24</v>
      </c>
      <c r="F51" s="81"/>
      <c r="I51" s="89"/>
    </row>
    <row r="52" spans="1:12">
      <c r="A52" s="51" t="s">
        <v>87</v>
      </c>
      <c r="B52" s="51" t="s">
        <v>88</v>
      </c>
      <c r="C52" s="243" t="s">
        <v>988</v>
      </c>
      <c r="D52" s="88">
        <v>0.1</v>
      </c>
      <c r="E52" s="51" t="s">
        <v>24</v>
      </c>
      <c r="I52" s="89"/>
    </row>
    <row r="53" spans="1:12">
      <c r="A53" s="51" t="s">
        <v>89</v>
      </c>
      <c r="B53" s="51" t="s">
        <v>90</v>
      </c>
      <c r="C53" s="243" t="s">
        <v>988</v>
      </c>
      <c r="D53" s="88">
        <v>0.1</v>
      </c>
      <c r="E53" s="51" t="s">
        <v>24</v>
      </c>
      <c r="I53" s="89"/>
    </row>
    <row r="54" spans="1:12">
      <c r="A54" s="51" t="s">
        <v>91</v>
      </c>
      <c r="B54" s="51" t="s">
        <v>92</v>
      </c>
      <c r="C54" s="243" t="s">
        <v>988</v>
      </c>
      <c r="D54" s="88">
        <v>0.1</v>
      </c>
      <c r="E54" s="51" t="s">
        <v>24</v>
      </c>
      <c r="I54" s="89"/>
    </row>
    <row r="55" spans="1:12">
      <c r="A55" s="51" t="s">
        <v>93</v>
      </c>
      <c r="B55" s="51" t="s">
        <v>94</v>
      </c>
      <c r="C55" s="238" t="s">
        <v>1074</v>
      </c>
      <c r="D55" s="88">
        <v>0.1</v>
      </c>
      <c r="E55" s="51" t="s">
        <v>24</v>
      </c>
      <c r="I55" s="89"/>
    </row>
    <row r="56" spans="1:12">
      <c r="A56" s="51" t="s">
        <v>95</v>
      </c>
      <c r="B56" s="51" t="s">
        <v>96</v>
      </c>
      <c r="C56" s="238" t="s">
        <v>1074</v>
      </c>
      <c r="D56" s="88">
        <v>0.1</v>
      </c>
      <c r="E56" s="51" t="s">
        <v>24</v>
      </c>
      <c r="I56" s="89"/>
    </row>
    <row r="57" spans="1:12">
      <c r="A57" s="51" t="s">
        <v>97</v>
      </c>
      <c r="B57" s="51" t="s">
        <v>98</v>
      </c>
      <c r="C57" s="238" t="s">
        <v>1081</v>
      </c>
      <c r="D57" s="88">
        <v>2.9</v>
      </c>
      <c r="E57" s="51" t="s">
        <v>24</v>
      </c>
      <c r="I57" s="89"/>
    </row>
    <row r="58" spans="1:12" s="3" customFormat="1">
      <c r="A58" s="24"/>
      <c r="B58" s="24"/>
      <c r="C58" s="349" t="s">
        <v>1291</v>
      </c>
      <c r="D58" s="26">
        <f>SUM(D21:D57)</f>
        <v>26.70000000000001</v>
      </c>
      <c r="E58" s="24"/>
    </row>
    <row r="59" spans="1:12" s="3" customFormat="1" ht="76.5" customHeight="1">
      <c r="A59" s="401" t="s">
        <v>1362</v>
      </c>
      <c r="B59" s="401"/>
      <c r="C59" s="401"/>
      <c r="D59" s="401"/>
      <c r="E59" s="401"/>
    </row>
    <row r="60" spans="1:12">
      <c r="C60" s="75"/>
      <c r="D60" s="89"/>
    </row>
    <row r="61" spans="1:12">
      <c r="A61" s="4" t="s">
        <v>654</v>
      </c>
      <c r="C61" s="75"/>
    </row>
    <row r="62" spans="1:12">
      <c r="A62" s="68" t="s">
        <v>100</v>
      </c>
      <c r="B62" s="51" t="s">
        <v>530</v>
      </c>
      <c r="C62" s="238" t="s">
        <v>1087</v>
      </c>
      <c r="D62" s="88">
        <v>0.6</v>
      </c>
      <c r="E62" s="51" t="s">
        <v>24</v>
      </c>
      <c r="F62" s="90"/>
      <c r="H62" s="90"/>
      <c r="I62" s="90"/>
      <c r="J62" s="90"/>
      <c r="K62" s="90"/>
      <c r="L62" s="90" t="str">
        <f>UPPER(I62)</f>
        <v/>
      </c>
    </row>
    <row r="63" spans="1:12">
      <c r="A63" s="68" t="s">
        <v>103</v>
      </c>
      <c r="B63" s="51" t="s">
        <v>531</v>
      </c>
      <c r="C63" s="241" t="s">
        <v>1292</v>
      </c>
      <c r="D63" s="88">
        <v>0.3</v>
      </c>
      <c r="E63" s="51" t="s">
        <v>24</v>
      </c>
      <c r="F63" s="90"/>
      <c r="H63" s="90"/>
      <c r="I63" s="90"/>
      <c r="J63" s="90"/>
      <c r="K63" s="90"/>
      <c r="L63" s="90" t="str">
        <f t="shared" ref="L63:L67" si="0">UPPER(I63)</f>
        <v/>
      </c>
    </row>
    <row r="64" spans="1:12">
      <c r="A64" s="68" t="s">
        <v>106</v>
      </c>
      <c r="B64" s="51" t="s">
        <v>532</v>
      </c>
      <c r="C64" s="241" t="s">
        <v>1292</v>
      </c>
      <c r="D64" s="88">
        <v>0.5</v>
      </c>
      <c r="E64" s="51" t="s">
        <v>24</v>
      </c>
      <c r="F64" s="90"/>
      <c r="H64" s="90"/>
      <c r="I64" s="90"/>
      <c r="J64" s="90"/>
      <c r="K64" s="90"/>
      <c r="L64" s="90" t="str">
        <f t="shared" si="0"/>
        <v/>
      </c>
    </row>
    <row r="65" spans="1:12">
      <c r="A65" s="68" t="s">
        <v>108</v>
      </c>
      <c r="B65" s="51" t="s">
        <v>533</v>
      </c>
      <c r="C65" s="241" t="s">
        <v>1292</v>
      </c>
      <c r="D65" s="88">
        <v>0</v>
      </c>
      <c r="E65" s="51" t="s">
        <v>24</v>
      </c>
      <c r="F65" s="90"/>
      <c r="H65" s="90"/>
      <c r="I65" s="90"/>
      <c r="J65" s="90"/>
      <c r="K65" s="90"/>
      <c r="L65" s="90" t="str">
        <f t="shared" si="0"/>
        <v/>
      </c>
    </row>
    <row r="66" spans="1:12">
      <c r="A66" s="68" t="s">
        <v>110</v>
      </c>
      <c r="B66" s="51" t="s">
        <v>534</v>
      </c>
      <c r="C66" s="241" t="s">
        <v>1292</v>
      </c>
      <c r="D66" s="88">
        <v>1.3</v>
      </c>
      <c r="E66" s="51" t="s">
        <v>24</v>
      </c>
      <c r="F66" s="90"/>
      <c r="H66" s="90"/>
      <c r="I66" s="90"/>
      <c r="J66" s="90"/>
      <c r="K66" s="90"/>
      <c r="L66" s="90" t="str">
        <f t="shared" si="0"/>
        <v/>
      </c>
    </row>
    <row r="67" spans="1:12">
      <c r="A67" s="68" t="s">
        <v>112</v>
      </c>
      <c r="B67" s="51" t="s">
        <v>535</v>
      </c>
      <c r="C67" s="238" t="s">
        <v>1293</v>
      </c>
      <c r="D67" s="88">
        <v>0.6</v>
      </c>
      <c r="E67" s="51" t="s">
        <v>24</v>
      </c>
      <c r="F67" s="90"/>
      <c r="H67" s="90"/>
      <c r="I67" s="90"/>
      <c r="J67" s="90"/>
      <c r="K67" s="90"/>
      <c r="L67" s="90" t="str">
        <f t="shared" si="0"/>
        <v/>
      </c>
    </row>
    <row r="68" spans="1:12">
      <c r="A68" s="51"/>
      <c r="B68" s="51"/>
      <c r="C68" s="349" t="s">
        <v>1291</v>
      </c>
      <c r="D68" s="26">
        <f>SUM(D62:D67)</f>
        <v>3.3000000000000003</v>
      </c>
      <c r="E68" s="51"/>
      <c r="F68" s="90"/>
      <c r="H68" s="90"/>
      <c r="I68" s="90"/>
      <c r="J68" s="90"/>
      <c r="K68" s="90"/>
      <c r="L68" s="90"/>
    </row>
    <row r="69" spans="1:12">
      <c r="C69" s="3"/>
      <c r="D69" s="89"/>
      <c r="F69" s="90"/>
      <c r="H69" s="90"/>
      <c r="I69" s="90"/>
      <c r="J69" s="90"/>
      <c r="K69" s="90"/>
      <c r="L69" s="90"/>
    </row>
    <row r="70" spans="1:12">
      <c r="A70" s="123" t="s">
        <v>1043</v>
      </c>
      <c r="C70" s="75"/>
    </row>
    <row r="71" spans="1:12">
      <c r="A71" s="91" t="s">
        <v>115</v>
      </c>
      <c r="B71" s="91" t="s">
        <v>116</v>
      </c>
      <c r="C71" s="85" t="s">
        <v>981</v>
      </c>
      <c r="D71" s="84">
        <v>0</v>
      </c>
      <c r="E71" s="51" t="s">
        <v>24</v>
      </c>
    </row>
    <row r="72" spans="1:12">
      <c r="A72" s="91" t="s">
        <v>117</v>
      </c>
      <c r="B72" s="91" t="s">
        <v>118</v>
      </c>
      <c r="C72" s="85" t="s">
        <v>981</v>
      </c>
      <c r="D72" s="84">
        <v>0</v>
      </c>
      <c r="E72" s="51" t="s">
        <v>24</v>
      </c>
    </row>
    <row r="73" spans="1:12">
      <c r="A73" s="91" t="s">
        <v>119</v>
      </c>
      <c r="B73" s="91" t="s">
        <v>120</v>
      </c>
      <c r="C73" s="85" t="s">
        <v>982</v>
      </c>
      <c r="D73" s="84">
        <v>0.6</v>
      </c>
      <c r="E73" s="51" t="s">
        <v>24</v>
      </c>
    </row>
    <row r="74" spans="1:12">
      <c r="A74" s="91" t="s">
        <v>121</v>
      </c>
      <c r="B74" s="91" t="s">
        <v>122</v>
      </c>
      <c r="C74" s="85" t="s">
        <v>982</v>
      </c>
      <c r="D74" s="84">
        <v>0.6</v>
      </c>
      <c r="E74" s="51" t="s">
        <v>24</v>
      </c>
    </row>
    <row r="75" spans="1:12">
      <c r="A75" s="51"/>
      <c r="B75" s="91"/>
      <c r="C75" s="349" t="s">
        <v>1291</v>
      </c>
      <c r="D75" s="25">
        <f>SUM(D71:D74)</f>
        <v>1.2</v>
      </c>
      <c r="E75" s="51"/>
    </row>
    <row r="76" spans="1:12">
      <c r="B76" s="92"/>
      <c r="C76" s="3"/>
      <c r="D76" s="87"/>
    </row>
    <row r="77" spans="1:12" ht="20.25" customHeight="1">
      <c r="A77" s="390" t="s">
        <v>642</v>
      </c>
      <c r="B77" s="390"/>
      <c r="C77" s="390"/>
      <c r="D77" s="390"/>
      <c r="E77" s="390"/>
    </row>
    <row r="78" spans="1:12" s="99" customFormat="1" ht="10.5" customHeight="1">
      <c r="A78" s="124"/>
      <c r="B78" s="124"/>
      <c r="C78" s="124"/>
      <c r="D78" s="124"/>
      <c r="E78" s="124"/>
    </row>
    <row r="79" spans="1:12">
      <c r="A79" s="4" t="s">
        <v>1044</v>
      </c>
      <c r="B79" s="92"/>
      <c r="C79" s="86"/>
      <c r="D79" s="87"/>
    </row>
    <row r="80" spans="1:12" ht="77.25" customHeight="1">
      <c r="A80" s="393" t="s">
        <v>983</v>
      </c>
      <c r="B80" s="393"/>
      <c r="C80" s="393"/>
      <c r="D80" s="393"/>
      <c r="E80" s="393"/>
    </row>
    <row r="82" spans="1:16" ht="13.5" thickBot="1">
      <c r="A82" s="10" t="s">
        <v>1045</v>
      </c>
      <c r="B82" s="80"/>
      <c r="C82" s="81"/>
      <c r="D82" s="81"/>
      <c r="E82" s="81"/>
      <c r="F82" s="81"/>
      <c r="H82" s="8"/>
      <c r="I82" s="81"/>
      <c r="J82" s="81"/>
      <c r="K82" s="81"/>
    </row>
    <row r="83" spans="1:16" ht="27.75" customHeight="1">
      <c r="A83" s="93" t="s">
        <v>12</v>
      </c>
      <c r="B83" s="94">
        <v>35</v>
      </c>
      <c r="C83" s="12"/>
      <c r="D83" s="81"/>
      <c r="E83" s="81"/>
      <c r="F83" s="81"/>
      <c r="G83" s="81"/>
      <c r="H83" s="81"/>
      <c r="I83" s="81"/>
      <c r="J83" s="81"/>
      <c r="K83" s="81"/>
      <c r="L83" s="81"/>
      <c r="M83" s="81"/>
      <c r="N83" s="81"/>
    </row>
    <row r="84" spans="1:16" ht="51">
      <c r="A84" s="95" t="s">
        <v>633</v>
      </c>
      <c r="B84" s="96">
        <v>4.0000000000000003E-5</v>
      </c>
      <c r="D84" s="81"/>
      <c r="E84" s="81"/>
      <c r="F84" s="81"/>
      <c r="G84" s="81"/>
      <c r="H84" s="81"/>
      <c r="I84" s="81"/>
      <c r="J84" s="81"/>
      <c r="K84" s="81"/>
      <c r="L84" s="81"/>
      <c r="M84" s="81"/>
      <c r="N84" s="81"/>
    </row>
    <row r="85" spans="1:16" ht="26.25" thickBot="1">
      <c r="A85" s="97" t="s">
        <v>631</v>
      </c>
      <c r="B85" s="98">
        <f>B83*B84</f>
        <v>1.4000000000000002E-3</v>
      </c>
      <c r="C85" s="81"/>
      <c r="D85" s="81"/>
      <c r="E85" s="81"/>
      <c r="F85" s="81"/>
      <c r="G85" s="81"/>
      <c r="H85" s="81"/>
      <c r="I85" s="81"/>
      <c r="J85" s="81"/>
      <c r="K85" s="81"/>
      <c r="L85" s="81"/>
      <c r="M85" s="81"/>
      <c r="N85" s="81"/>
    </row>
    <row r="86" spans="1:16">
      <c r="A86" s="99"/>
      <c r="B86" s="100"/>
      <c r="C86" s="100"/>
      <c r="D86" s="81"/>
      <c r="E86" s="81"/>
      <c r="F86" s="81"/>
      <c r="G86" s="81"/>
      <c r="H86" s="81"/>
      <c r="I86" s="81"/>
      <c r="J86" s="81"/>
      <c r="K86" s="81"/>
      <c r="L86" s="81"/>
      <c r="M86" s="81"/>
      <c r="N86" s="81"/>
    </row>
    <row r="87" spans="1:16">
      <c r="A87" s="4" t="s">
        <v>1046</v>
      </c>
      <c r="B87" s="100"/>
      <c r="C87" s="100"/>
      <c r="D87" s="81"/>
      <c r="E87" s="81"/>
      <c r="F87" s="81"/>
      <c r="G87" s="81"/>
      <c r="H87" s="81"/>
      <c r="I87" s="81"/>
      <c r="J87" s="81"/>
      <c r="K87" s="81"/>
      <c r="L87" s="81"/>
      <c r="M87" s="81"/>
      <c r="N87" s="81"/>
    </row>
    <row r="88" spans="1:16" ht="64.5" customHeight="1">
      <c r="A88" s="393" t="s">
        <v>632</v>
      </c>
      <c r="B88" s="393"/>
      <c r="C88" s="393"/>
      <c r="D88" s="393"/>
      <c r="E88" s="393"/>
      <c r="F88" s="81"/>
      <c r="G88" s="81"/>
      <c r="H88" s="81"/>
      <c r="I88" s="81"/>
      <c r="J88" s="81"/>
      <c r="K88" s="81"/>
      <c r="L88" s="81"/>
      <c r="M88" s="81"/>
      <c r="N88" s="81"/>
    </row>
    <row r="89" spans="1:16" ht="12.75" customHeight="1">
      <c r="A89" s="4"/>
      <c r="B89" s="100"/>
      <c r="C89" s="100"/>
      <c r="D89" s="81"/>
      <c r="E89" s="81"/>
      <c r="F89" s="81"/>
      <c r="H89" s="8"/>
      <c r="I89" s="81"/>
      <c r="J89" s="81"/>
      <c r="K89" s="81"/>
    </row>
    <row r="90" spans="1:16" ht="13.5" thickBot="1">
      <c r="A90" s="10" t="s">
        <v>984</v>
      </c>
      <c r="B90" s="81"/>
      <c r="C90" s="81"/>
      <c r="D90" s="81"/>
      <c r="E90" s="81"/>
      <c r="F90" s="81"/>
      <c r="H90" s="8"/>
      <c r="I90" s="81"/>
      <c r="J90" s="81"/>
      <c r="K90" s="81"/>
    </row>
    <row r="91" spans="1:16" ht="38.25">
      <c r="A91" s="93" t="s">
        <v>635</v>
      </c>
      <c r="B91" s="101">
        <v>17500</v>
      </c>
      <c r="D91" s="81"/>
      <c r="E91" s="81"/>
      <c r="F91" s="81"/>
      <c r="H91" s="8"/>
      <c r="I91" s="81"/>
      <c r="J91" s="81"/>
      <c r="K91" s="81"/>
    </row>
    <row r="92" spans="1:16">
      <c r="A92" s="102" t="s">
        <v>634</v>
      </c>
      <c r="B92" s="103">
        <v>3500</v>
      </c>
      <c r="D92" s="81"/>
      <c r="E92" s="81"/>
      <c r="F92" s="81"/>
      <c r="H92" s="8"/>
      <c r="I92" s="81"/>
      <c r="J92" s="81"/>
      <c r="K92" s="81"/>
    </row>
    <row r="93" spans="1:16" ht="25.5">
      <c r="A93" s="95" t="s">
        <v>636</v>
      </c>
      <c r="B93" s="103">
        <v>9000</v>
      </c>
      <c r="D93" s="13"/>
      <c r="E93" s="13"/>
      <c r="F93" s="13"/>
      <c r="G93" s="81"/>
      <c r="H93" s="8"/>
      <c r="I93" s="13"/>
      <c r="J93" s="13"/>
      <c r="K93" s="13"/>
      <c r="L93" s="13"/>
      <c r="M93" s="13"/>
      <c r="N93" s="13"/>
      <c r="O93" s="13"/>
      <c r="P93" s="81"/>
    </row>
    <row r="94" spans="1:16" ht="25.5">
      <c r="A94" s="95" t="s">
        <v>637</v>
      </c>
      <c r="B94" s="103">
        <v>8575</v>
      </c>
    </row>
    <row r="95" spans="1:16">
      <c r="A95" s="14" t="s">
        <v>546</v>
      </c>
      <c r="B95" s="15">
        <f>SUM(B91:B94)</f>
        <v>38575</v>
      </c>
      <c r="G95" s="104"/>
    </row>
    <row r="96" spans="1:16" ht="19.5" customHeight="1" thickBot="1">
      <c r="A96" s="105" t="s">
        <v>547</v>
      </c>
      <c r="B96" s="106">
        <f>B95/1000000</f>
        <v>3.8574999999999998E-2</v>
      </c>
    </row>
    <row r="98" spans="1:5" ht="19.5" customHeight="1">
      <c r="A98" s="392" t="s">
        <v>510</v>
      </c>
      <c r="B98" s="392"/>
      <c r="C98" s="392"/>
      <c r="D98" s="392"/>
      <c r="E98" s="392"/>
    </row>
    <row r="100" spans="1:5">
      <c r="A100" s="4" t="s">
        <v>161</v>
      </c>
    </row>
    <row r="101" spans="1:5">
      <c r="A101" s="393" t="s">
        <v>985</v>
      </c>
      <c r="B101" s="393"/>
      <c r="C101" s="393"/>
    </row>
    <row r="102" spans="1:5">
      <c r="A102" s="73"/>
      <c r="B102" s="73"/>
      <c r="C102" s="73"/>
    </row>
    <row r="103" spans="1:5">
      <c r="A103" s="78"/>
      <c r="B103" s="78" t="s">
        <v>392</v>
      </c>
    </row>
    <row r="104" spans="1:5" ht="51">
      <c r="A104" s="78" t="s">
        <v>391</v>
      </c>
      <c r="B104" s="107">
        <v>6.7499999999999999E-3</v>
      </c>
    </row>
    <row r="106" spans="1:5">
      <c r="A106" s="108" t="s">
        <v>986</v>
      </c>
      <c r="B106" s="80"/>
      <c r="C106" s="80"/>
      <c r="D106" s="80"/>
    </row>
    <row r="107" spans="1:5" ht="63.75">
      <c r="A107" s="16" t="s">
        <v>980</v>
      </c>
      <c r="B107" s="16" t="s">
        <v>9</v>
      </c>
      <c r="C107" s="16" t="s">
        <v>4</v>
      </c>
      <c r="D107" s="17" t="s">
        <v>987</v>
      </c>
      <c r="E107" s="16" t="s">
        <v>125</v>
      </c>
    </row>
    <row r="108" spans="1:5">
      <c r="A108" s="8" t="s">
        <v>1047</v>
      </c>
      <c r="B108" s="8"/>
      <c r="C108" s="81"/>
      <c r="D108" s="81"/>
    </row>
    <row r="109" spans="1:5" ht="63.75" customHeight="1">
      <c r="A109" s="109" t="s">
        <v>1</v>
      </c>
      <c r="B109" s="109" t="s">
        <v>3</v>
      </c>
      <c r="C109" s="109" t="s">
        <v>5</v>
      </c>
      <c r="D109" s="109">
        <v>1</v>
      </c>
      <c r="E109" s="109" t="s">
        <v>542</v>
      </c>
    </row>
    <row r="110" spans="1:5" ht="19.5" customHeight="1">
      <c r="A110" s="109" t="s">
        <v>10</v>
      </c>
      <c r="B110" s="109" t="s">
        <v>6</v>
      </c>
      <c r="C110" s="109" t="s">
        <v>7</v>
      </c>
      <c r="D110" s="109">
        <v>1</v>
      </c>
      <c r="E110" s="399" t="s">
        <v>543</v>
      </c>
    </row>
    <row r="111" spans="1:5" ht="63" customHeight="1">
      <c r="A111" s="109" t="s">
        <v>10</v>
      </c>
      <c r="B111" s="109" t="s">
        <v>6</v>
      </c>
      <c r="C111" s="109" t="s">
        <v>8</v>
      </c>
      <c r="D111" s="109">
        <v>1</v>
      </c>
      <c r="E111" s="399"/>
    </row>
    <row r="112" spans="1:5" ht="39" customHeight="1">
      <c r="A112" s="109" t="s">
        <v>538</v>
      </c>
      <c r="B112" s="109" t="s">
        <v>539</v>
      </c>
      <c r="C112" s="109" t="s">
        <v>540</v>
      </c>
      <c r="D112" s="110">
        <v>1</v>
      </c>
      <c r="E112" s="109" t="s">
        <v>541</v>
      </c>
    </row>
    <row r="113" spans="1:5">
      <c r="B113" s="81"/>
      <c r="C113" s="82"/>
      <c r="D113" s="81"/>
    </row>
    <row r="114" spans="1:5" ht="32.25" customHeight="1">
      <c r="A114" s="400" t="s">
        <v>1048</v>
      </c>
      <c r="B114" s="400"/>
      <c r="C114" s="400"/>
      <c r="D114" s="400"/>
      <c r="E114" s="400"/>
    </row>
    <row r="115" spans="1:5" ht="25.5">
      <c r="A115" s="18" t="s">
        <v>988</v>
      </c>
      <c r="B115" s="19" t="s">
        <v>153</v>
      </c>
      <c r="C115" s="18" t="s">
        <v>989</v>
      </c>
      <c r="D115" s="18">
        <v>1</v>
      </c>
      <c r="E115" s="396" t="s">
        <v>509</v>
      </c>
    </row>
    <row r="116" spans="1:5" ht="25.5">
      <c r="A116" s="18" t="s">
        <v>990</v>
      </c>
      <c r="B116" s="19" t="s">
        <v>144</v>
      </c>
      <c r="C116" s="18" t="s">
        <v>138</v>
      </c>
      <c r="D116" s="18">
        <v>1</v>
      </c>
      <c r="E116" s="397"/>
    </row>
    <row r="117" spans="1:5" ht="25.5">
      <c r="A117" s="18" t="s">
        <v>991</v>
      </c>
      <c r="B117" s="19" t="s">
        <v>141</v>
      </c>
      <c r="C117" s="18" t="s">
        <v>143</v>
      </c>
      <c r="D117" s="18">
        <v>1</v>
      </c>
      <c r="E117" s="397"/>
    </row>
    <row r="118" spans="1:5" ht="25.5">
      <c r="A118" s="18" t="s">
        <v>992</v>
      </c>
      <c r="B118" s="19" t="s">
        <v>141</v>
      </c>
      <c r="C118" s="18" t="s">
        <v>142</v>
      </c>
      <c r="D118" s="18">
        <v>1</v>
      </c>
      <c r="E118" s="397"/>
    </row>
    <row r="119" spans="1:5" ht="51">
      <c r="A119" s="18" t="s">
        <v>993</v>
      </c>
      <c r="B119" s="19" t="s">
        <v>154</v>
      </c>
      <c r="C119" s="18" t="s">
        <v>994</v>
      </c>
      <c r="D119" s="18">
        <v>1</v>
      </c>
      <c r="E119" s="397"/>
    </row>
    <row r="120" spans="1:5">
      <c r="A120" s="18" t="s">
        <v>995</v>
      </c>
      <c r="B120" s="19" t="s">
        <v>127</v>
      </c>
      <c r="C120" s="18" t="s">
        <v>145</v>
      </c>
      <c r="D120" s="18">
        <v>1</v>
      </c>
      <c r="E120" s="397"/>
    </row>
    <row r="121" spans="1:5" ht="25.5">
      <c r="A121" s="18" t="s">
        <v>996</v>
      </c>
      <c r="B121" s="19" t="s">
        <v>127</v>
      </c>
      <c r="C121" s="18" t="s">
        <v>146</v>
      </c>
      <c r="D121" s="18">
        <v>1</v>
      </c>
      <c r="E121" s="397"/>
    </row>
    <row r="122" spans="1:5" ht="25.5">
      <c r="A122" s="18" t="s">
        <v>997</v>
      </c>
      <c r="B122" s="19" t="s">
        <v>128</v>
      </c>
      <c r="C122" s="18" t="s">
        <v>998</v>
      </c>
      <c r="D122" s="18">
        <v>1</v>
      </c>
      <c r="E122" s="397"/>
    </row>
    <row r="123" spans="1:5" ht="39.75" customHeight="1">
      <c r="A123" s="18" t="s">
        <v>999</v>
      </c>
      <c r="B123" s="19" t="s">
        <v>147</v>
      </c>
      <c r="C123" s="18" t="s">
        <v>683</v>
      </c>
      <c r="D123" s="18">
        <v>1</v>
      </c>
      <c r="E123" s="397"/>
    </row>
    <row r="124" spans="1:5" ht="25.5">
      <c r="A124" s="18" t="s">
        <v>1000</v>
      </c>
      <c r="B124" s="19" t="s">
        <v>149</v>
      </c>
      <c r="C124" s="18" t="s">
        <v>148</v>
      </c>
      <c r="D124" s="18">
        <v>1</v>
      </c>
      <c r="E124" s="397"/>
    </row>
    <row r="125" spans="1:5" ht="25.5">
      <c r="A125" s="18" t="s">
        <v>1001</v>
      </c>
      <c r="B125" s="19" t="s">
        <v>155</v>
      </c>
      <c r="C125" s="18" t="s">
        <v>156</v>
      </c>
      <c r="D125" s="18">
        <v>1</v>
      </c>
      <c r="E125" s="397"/>
    </row>
    <row r="126" spans="1:5" ht="25.5">
      <c r="A126" s="18" t="s">
        <v>1002</v>
      </c>
      <c r="B126" s="19" t="s">
        <v>155</v>
      </c>
      <c r="C126" s="18" t="s">
        <v>157</v>
      </c>
      <c r="D126" s="18">
        <v>1</v>
      </c>
      <c r="E126" s="397"/>
    </row>
    <row r="127" spans="1:5" ht="25.5">
      <c r="A127" s="18" t="s">
        <v>1003</v>
      </c>
      <c r="B127" s="19" t="s">
        <v>140</v>
      </c>
      <c r="C127" s="18" t="s">
        <v>139</v>
      </c>
      <c r="D127" s="18">
        <v>1</v>
      </c>
      <c r="E127" s="397"/>
    </row>
    <row r="128" spans="1:5" ht="24" customHeight="1">
      <c r="A128" s="18" t="s">
        <v>1004</v>
      </c>
      <c r="B128" s="19" t="s">
        <v>158</v>
      </c>
      <c r="C128" s="18" t="s">
        <v>1005</v>
      </c>
      <c r="D128" s="18">
        <v>1</v>
      </c>
      <c r="E128" s="397"/>
    </row>
    <row r="129" spans="1:5" ht="63.75">
      <c r="A129" s="18" t="s">
        <v>1006</v>
      </c>
      <c r="B129" s="19" t="s">
        <v>159</v>
      </c>
      <c r="C129" s="18" t="s">
        <v>1007</v>
      </c>
      <c r="D129" s="18">
        <v>1</v>
      </c>
      <c r="E129" s="397"/>
    </row>
    <row r="130" spans="1:5" ht="38.25">
      <c r="A130" s="18" t="s">
        <v>1008</v>
      </c>
      <c r="B130" s="19" t="s">
        <v>160</v>
      </c>
      <c r="C130" s="18" t="s">
        <v>150</v>
      </c>
      <c r="D130" s="18">
        <v>1</v>
      </c>
      <c r="E130" s="397"/>
    </row>
    <row r="131" spans="1:5">
      <c r="A131" s="18" t="s">
        <v>1009</v>
      </c>
      <c r="B131" s="19" t="s">
        <v>130</v>
      </c>
      <c r="C131" s="18" t="s">
        <v>137</v>
      </c>
      <c r="D131" s="18">
        <v>1</v>
      </c>
      <c r="E131" s="397"/>
    </row>
    <row r="132" spans="1:5" ht="25.5">
      <c r="A132" s="18" t="s">
        <v>1010</v>
      </c>
      <c r="B132" s="19" t="s">
        <v>151</v>
      </c>
      <c r="C132" s="18" t="s">
        <v>152</v>
      </c>
      <c r="D132" s="18">
        <v>1</v>
      </c>
      <c r="E132" s="398"/>
    </row>
    <row r="133" spans="1:5">
      <c r="B133" s="100"/>
      <c r="D133" s="81"/>
    </row>
    <row r="134" spans="1:5">
      <c r="A134" s="10" t="s">
        <v>1049</v>
      </c>
      <c r="B134" s="10"/>
      <c r="C134" s="100"/>
      <c r="D134" s="81"/>
    </row>
    <row r="135" spans="1:5">
      <c r="A135" s="100" t="s">
        <v>659</v>
      </c>
      <c r="B135" s="10"/>
      <c r="C135" s="100"/>
      <c r="D135" s="81"/>
    </row>
    <row r="136" spans="1:5">
      <c r="A136" s="99"/>
      <c r="B136" s="100"/>
      <c r="C136" s="100"/>
      <c r="D136" s="100"/>
      <c r="E136" s="99"/>
    </row>
    <row r="137" spans="1:5">
      <c r="A137" s="10" t="s">
        <v>1050</v>
      </c>
      <c r="B137" s="10"/>
      <c r="C137" s="100"/>
      <c r="D137" s="81"/>
    </row>
    <row r="138" spans="1:5" ht="37.5" customHeight="1">
      <c r="A138" s="111" t="s">
        <v>1011</v>
      </c>
      <c r="B138" s="68" t="s">
        <v>131</v>
      </c>
      <c r="C138" s="111" t="s">
        <v>684</v>
      </c>
      <c r="D138" s="68">
        <v>1</v>
      </c>
      <c r="E138" s="394" t="s">
        <v>509</v>
      </c>
    </row>
    <row r="139" spans="1:5" ht="36.75" customHeight="1">
      <c r="A139" s="111" t="s">
        <v>1011</v>
      </c>
      <c r="B139" s="68" t="s">
        <v>131</v>
      </c>
      <c r="C139" s="111" t="s">
        <v>132</v>
      </c>
      <c r="D139" s="68">
        <v>1</v>
      </c>
      <c r="E139" s="394"/>
    </row>
    <row r="140" spans="1:5" ht="33.75" customHeight="1">
      <c r="A140" s="111" t="s">
        <v>1011</v>
      </c>
      <c r="B140" s="68" t="s">
        <v>131</v>
      </c>
      <c r="C140" s="111" t="s">
        <v>133</v>
      </c>
      <c r="D140" s="68">
        <v>1</v>
      </c>
      <c r="E140" s="394"/>
    </row>
    <row r="141" spans="1:5" ht="30.75" customHeight="1">
      <c r="A141" s="111" t="s">
        <v>1011</v>
      </c>
      <c r="B141" s="68" t="s">
        <v>131</v>
      </c>
      <c r="C141" s="111" t="s">
        <v>134</v>
      </c>
      <c r="D141" s="68">
        <v>1</v>
      </c>
      <c r="E141" s="394"/>
    </row>
    <row r="142" spans="1:5" ht="31.5" customHeight="1">
      <c r="A142" s="111" t="s">
        <v>982</v>
      </c>
      <c r="B142" s="68" t="s">
        <v>135</v>
      </c>
      <c r="C142" s="111" t="s">
        <v>136</v>
      </c>
      <c r="D142" s="68">
        <v>1</v>
      </c>
      <c r="E142" s="394"/>
    </row>
    <row r="144" spans="1:5" s="99" customFormat="1" ht="20.25" customHeight="1">
      <c r="A144" s="390" t="s">
        <v>665</v>
      </c>
      <c r="B144" s="390"/>
      <c r="C144" s="390"/>
      <c r="D144" s="390"/>
      <c r="E144" s="390"/>
    </row>
    <row r="145" spans="1:15" s="99" customFormat="1"/>
    <row r="146" spans="1:15" s="99" customFormat="1">
      <c r="A146" s="4" t="s">
        <v>1051</v>
      </c>
    </row>
    <row r="147" spans="1:15" s="99" customFormat="1"/>
    <row r="148" spans="1:15" s="99" customFormat="1">
      <c r="A148" s="112"/>
      <c r="B148" s="112" t="s">
        <v>392</v>
      </c>
    </row>
    <row r="149" spans="1:15" s="99" customFormat="1" ht="51">
      <c r="A149" s="112" t="s">
        <v>391</v>
      </c>
      <c r="B149" s="113">
        <v>6.7499999999999999E-3</v>
      </c>
    </row>
    <row r="150" spans="1:15" s="99" customFormat="1"/>
    <row r="151" spans="1:15" s="99" customFormat="1"/>
    <row r="152" spans="1:15" s="99" customFormat="1">
      <c r="A152" s="21" t="s">
        <v>980</v>
      </c>
      <c r="B152" s="21" t="s">
        <v>544</v>
      </c>
      <c r="C152" s="21" t="s">
        <v>545</v>
      </c>
      <c r="D152" s="21" t="s">
        <v>599</v>
      </c>
      <c r="E152" s="2"/>
      <c r="F152" s="100"/>
      <c r="G152" s="100"/>
      <c r="H152" s="100"/>
      <c r="I152" s="100"/>
      <c r="J152" s="100"/>
      <c r="K152" s="100"/>
      <c r="L152" s="100"/>
      <c r="M152" s="100"/>
      <c r="N152" s="100"/>
      <c r="O152" s="100"/>
    </row>
    <row r="153" spans="1:15" s="99" customFormat="1" ht="51" customHeight="1">
      <c r="A153" s="114" t="s">
        <v>506</v>
      </c>
      <c r="B153" s="114" t="s">
        <v>410</v>
      </c>
      <c r="C153" s="114">
        <v>1</v>
      </c>
      <c r="D153" s="115" t="s">
        <v>598</v>
      </c>
      <c r="E153" s="116"/>
      <c r="F153" s="100"/>
      <c r="G153" s="100"/>
      <c r="H153" s="100"/>
      <c r="I153" s="100"/>
      <c r="J153" s="100"/>
      <c r="K153" s="100"/>
      <c r="L153" s="100"/>
      <c r="M153" s="100"/>
      <c r="N153" s="100"/>
      <c r="O153" s="100"/>
    </row>
    <row r="154" spans="1:15" s="99" customFormat="1">
      <c r="A154" s="114" t="s">
        <v>183</v>
      </c>
      <c r="B154" s="114" t="s">
        <v>460</v>
      </c>
      <c r="C154" s="114">
        <v>1</v>
      </c>
      <c r="D154" s="114">
        <v>2022</v>
      </c>
      <c r="E154" s="116"/>
      <c r="F154" s="100"/>
      <c r="G154" s="100"/>
      <c r="H154" s="100"/>
      <c r="I154" s="100"/>
      <c r="J154" s="100"/>
      <c r="K154" s="100"/>
      <c r="L154" s="100"/>
      <c r="M154" s="100"/>
      <c r="N154" s="100"/>
      <c r="O154" s="100"/>
    </row>
    <row r="155" spans="1:15" s="99" customFormat="1"/>
  </sheetData>
  <sheetProtection password="8725" sheet="1" objects="1" scenarios="1"/>
  <mergeCells count="15">
    <mergeCell ref="A144:E144"/>
    <mergeCell ref="A4:E4"/>
    <mergeCell ref="A5:E5"/>
    <mergeCell ref="A10:E10"/>
    <mergeCell ref="A77:E77"/>
    <mergeCell ref="A80:E80"/>
    <mergeCell ref="E138:E142"/>
    <mergeCell ref="A101:C101"/>
    <mergeCell ref="A12:B12"/>
    <mergeCell ref="E115:E132"/>
    <mergeCell ref="E110:E111"/>
    <mergeCell ref="A114:E114"/>
    <mergeCell ref="A88:E88"/>
    <mergeCell ref="A98:E98"/>
    <mergeCell ref="A59:E59"/>
  </mergeCells>
  <pageMargins left="0.70866141732283472" right="0.70866141732283472" top="0.74803149606299213" bottom="0.74803149606299213" header="0.31496062992125984" footer="0.31496062992125984"/>
  <pageSetup paperSize="9" scale="53" fitToHeight="2"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1:Y388"/>
  <sheetViews>
    <sheetView zoomScale="80" zoomScaleNormal="80" workbookViewId="0">
      <selection activeCell="F12" sqref="F12"/>
    </sheetView>
  </sheetViews>
  <sheetFormatPr defaultRowHeight="13.5" customHeight="1"/>
  <cols>
    <col min="1" max="1" width="49" style="74" customWidth="1"/>
    <col min="2" max="2" width="8.28515625" style="74" customWidth="1"/>
    <col min="3" max="10" width="6.42578125" style="74" customWidth="1"/>
    <col min="11" max="11" width="6.85546875" style="74" customWidth="1"/>
    <col min="12" max="21" width="6.42578125" style="74" customWidth="1"/>
    <col min="22" max="22" width="7.5703125" style="74" customWidth="1"/>
    <col min="23" max="23" width="9" style="74" customWidth="1"/>
    <col min="24" max="16384" width="9.140625" style="74"/>
  </cols>
  <sheetData>
    <row r="1" spans="1:23" s="121" customFormat="1" ht="30" customHeight="1">
      <c r="A1" s="119" t="s">
        <v>1380</v>
      </c>
      <c r="B1" s="120"/>
      <c r="C1" s="120"/>
      <c r="D1" s="120"/>
      <c r="E1" s="120"/>
      <c r="F1" s="120"/>
      <c r="G1" s="120"/>
      <c r="H1" s="120"/>
      <c r="I1" s="120"/>
      <c r="J1" s="120"/>
      <c r="K1" s="120"/>
      <c r="L1" s="120"/>
      <c r="M1" s="120"/>
      <c r="N1" s="120"/>
      <c r="O1" s="120"/>
      <c r="P1" s="120"/>
      <c r="Q1" s="120"/>
      <c r="R1" s="120"/>
      <c r="S1" s="120"/>
      <c r="T1" s="120"/>
      <c r="U1" s="120"/>
      <c r="V1" s="120"/>
      <c r="W1" s="120"/>
    </row>
    <row r="2" spans="1:23" ht="13.5" customHeight="1">
      <c r="A2" s="74" t="s">
        <v>162</v>
      </c>
    </row>
    <row r="3" spans="1:23" ht="26.25" customHeight="1">
      <c r="A3" s="393" t="s">
        <v>13</v>
      </c>
      <c r="B3" s="393"/>
      <c r="C3" s="393"/>
      <c r="D3" s="393"/>
      <c r="E3" s="393"/>
      <c r="F3" s="393"/>
      <c r="G3" s="393"/>
      <c r="H3" s="393"/>
      <c r="I3" s="393"/>
      <c r="J3" s="393"/>
      <c r="K3" s="393"/>
      <c r="L3" s="393"/>
      <c r="M3" s="393"/>
      <c r="N3" s="393"/>
      <c r="O3" s="393"/>
      <c r="P3" s="393"/>
      <c r="Q3" s="393"/>
      <c r="R3" s="393"/>
      <c r="S3" s="393"/>
      <c r="T3" s="393"/>
      <c r="U3" s="393"/>
      <c r="V3" s="125"/>
      <c r="W3" s="125"/>
    </row>
    <row r="4" spans="1:23" ht="15" customHeight="1">
      <c r="A4" s="73"/>
      <c r="B4" s="73"/>
      <c r="C4" s="73"/>
      <c r="D4" s="73"/>
      <c r="E4" s="73"/>
      <c r="F4" s="73"/>
      <c r="G4" s="73"/>
      <c r="H4" s="73"/>
      <c r="I4" s="73"/>
      <c r="J4" s="73"/>
      <c r="K4" s="73"/>
      <c r="L4" s="73"/>
      <c r="M4" s="73"/>
      <c r="N4" s="73"/>
      <c r="O4" s="73"/>
      <c r="P4" s="73"/>
      <c r="Q4" s="73"/>
      <c r="R4" s="73"/>
      <c r="S4" s="73"/>
      <c r="T4" s="73"/>
      <c r="U4" s="73"/>
      <c r="V4" s="125"/>
      <c r="W4" s="125"/>
    </row>
    <row r="5" spans="1:23" ht="19.5" customHeight="1" thickBot="1">
      <c r="A5" s="408" t="s">
        <v>1058</v>
      </c>
      <c r="B5" s="408"/>
      <c r="C5" s="408"/>
      <c r="D5" s="408"/>
      <c r="E5" s="408"/>
      <c r="F5" s="408"/>
      <c r="G5" s="408"/>
      <c r="H5" s="408"/>
      <c r="I5" s="408"/>
      <c r="J5" s="408"/>
      <c r="K5" s="408"/>
      <c r="L5" s="408"/>
      <c r="M5" s="408"/>
      <c r="N5" s="408"/>
      <c r="O5" s="408"/>
      <c r="P5" s="408"/>
      <c r="Q5" s="408"/>
      <c r="R5" s="408"/>
      <c r="S5" s="408"/>
      <c r="T5" s="408"/>
      <c r="U5" s="408"/>
      <c r="V5" s="408"/>
      <c r="W5" s="408"/>
    </row>
    <row r="6" spans="1:23" ht="13.5" customHeight="1">
      <c r="A6" s="142" t="s">
        <v>14</v>
      </c>
      <c r="B6" s="143">
        <v>2013</v>
      </c>
      <c r="C6" s="143">
        <v>2014</v>
      </c>
      <c r="D6" s="143">
        <v>2015</v>
      </c>
      <c r="E6" s="143">
        <v>2016</v>
      </c>
      <c r="F6" s="143">
        <v>2017</v>
      </c>
      <c r="G6" s="143">
        <v>2018</v>
      </c>
      <c r="H6" s="143">
        <v>2019</v>
      </c>
      <c r="I6" s="143">
        <v>2020</v>
      </c>
      <c r="J6" s="143">
        <v>2021</v>
      </c>
      <c r="K6" s="143">
        <v>2022</v>
      </c>
      <c r="L6" s="143">
        <v>2023</v>
      </c>
      <c r="M6" s="143">
        <v>2024</v>
      </c>
      <c r="N6" s="143">
        <v>2025</v>
      </c>
      <c r="O6" s="143">
        <v>2026</v>
      </c>
      <c r="P6" s="143">
        <v>2027</v>
      </c>
      <c r="Q6" s="143">
        <v>2028</v>
      </c>
      <c r="R6" s="143">
        <v>2029</v>
      </c>
      <c r="S6" s="143">
        <v>2030</v>
      </c>
      <c r="T6" s="143">
        <v>2031</v>
      </c>
      <c r="U6" s="143">
        <v>2032</v>
      </c>
      <c r="V6" s="402" t="s">
        <v>15</v>
      </c>
      <c r="W6" s="404" t="s">
        <v>1055</v>
      </c>
    </row>
    <row r="7" spans="1:23" ht="15.75" customHeight="1" thickBot="1">
      <c r="A7" s="144" t="s">
        <v>1052</v>
      </c>
      <c r="B7" s="145">
        <v>1</v>
      </c>
      <c r="C7" s="145">
        <v>2</v>
      </c>
      <c r="D7" s="145">
        <v>3</v>
      </c>
      <c r="E7" s="145">
        <v>4</v>
      </c>
      <c r="F7" s="145">
        <v>5</v>
      </c>
      <c r="G7" s="145">
        <v>6</v>
      </c>
      <c r="H7" s="145">
        <v>7</v>
      </c>
      <c r="I7" s="145">
        <v>8</v>
      </c>
      <c r="J7" s="145">
        <v>9</v>
      </c>
      <c r="K7" s="145">
        <v>10</v>
      </c>
      <c r="L7" s="145">
        <v>11</v>
      </c>
      <c r="M7" s="145">
        <v>12</v>
      </c>
      <c r="N7" s="145">
        <v>13</v>
      </c>
      <c r="O7" s="145">
        <v>14</v>
      </c>
      <c r="P7" s="145">
        <v>15</v>
      </c>
      <c r="Q7" s="145">
        <v>16</v>
      </c>
      <c r="R7" s="145">
        <v>17</v>
      </c>
      <c r="S7" s="145">
        <v>18</v>
      </c>
      <c r="T7" s="145">
        <v>19</v>
      </c>
      <c r="U7" s="145">
        <v>20</v>
      </c>
      <c r="V7" s="403"/>
      <c r="W7" s="405"/>
    </row>
    <row r="8" spans="1:23" ht="13.5" customHeight="1" thickBot="1">
      <c r="A8" s="147" t="s">
        <v>1054</v>
      </c>
      <c r="B8" s="141"/>
      <c r="C8" s="141"/>
      <c r="D8" s="141"/>
      <c r="E8" s="141"/>
      <c r="F8" s="141"/>
      <c r="G8" s="141"/>
      <c r="H8" s="141"/>
      <c r="I8" s="141"/>
      <c r="J8" s="141"/>
      <c r="K8" s="141"/>
      <c r="L8" s="141"/>
      <c r="M8" s="141"/>
      <c r="N8" s="141"/>
      <c r="O8" s="141"/>
      <c r="P8" s="141"/>
      <c r="Q8" s="141"/>
      <c r="R8" s="141"/>
      <c r="S8" s="141"/>
      <c r="T8" s="141"/>
      <c r="U8" s="141"/>
      <c r="V8" s="202"/>
      <c r="W8" s="203"/>
    </row>
    <row r="9" spans="1:23" ht="13.5" customHeight="1">
      <c r="A9" s="13"/>
      <c r="B9" s="81"/>
      <c r="C9" s="81"/>
      <c r="D9" s="81"/>
      <c r="E9" s="81"/>
      <c r="F9" s="81"/>
      <c r="G9" s="81"/>
      <c r="H9" s="81"/>
      <c r="I9" s="81"/>
      <c r="J9" s="81"/>
      <c r="K9" s="81"/>
      <c r="L9" s="81"/>
      <c r="M9" s="81"/>
      <c r="N9" s="81"/>
      <c r="O9" s="81"/>
      <c r="P9" s="81"/>
      <c r="Q9" s="81"/>
      <c r="R9" s="81"/>
      <c r="S9" s="81"/>
      <c r="T9" s="81"/>
      <c r="U9" s="81"/>
      <c r="V9" s="179"/>
      <c r="W9" s="140"/>
    </row>
    <row r="10" spans="1:23" ht="13.5" customHeight="1">
      <c r="A10" s="13" t="s">
        <v>1053</v>
      </c>
      <c r="B10" s="81"/>
      <c r="C10" s="81"/>
      <c r="D10" s="81"/>
      <c r="E10" s="81"/>
      <c r="F10" s="81"/>
      <c r="G10" s="81"/>
      <c r="H10" s="81"/>
      <c r="I10" s="81"/>
      <c r="J10" s="81"/>
      <c r="K10" s="81"/>
      <c r="L10" s="81"/>
      <c r="M10" s="81"/>
      <c r="N10" s="81"/>
      <c r="O10" s="81"/>
      <c r="P10" s="81"/>
      <c r="Q10" s="81"/>
      <c r="R10" s="81"/>
      <c r="S10" s="81"/>
      <c r="T10" s="81"/>
      <c r="U10" s="81"/>
      <c r="V10" s="179"/>
      <c r="W10" s="140"/>
    </row>
    <row r="11" spans="1:23" ht="13.5" customHeight="1">
      <c r="A11" s="13"/>
      <c r="B11" s="81"/>
      <c r="C11" s="81"/>
      <c r="D11" s="81"/>
      <c r="E11" s="81"/>
      <c r="F11" s="81"/>
      <c r="G11" s="81"/>
      <c r="H11" s="81"/>
      <c r="I11" s="81"/>
      <c r="J11" s="81"/>
      <c r="K11" s="81"/>
      <c r="L11" s="81"/>
      <c r="M11" s="81"/>
      <c r="N11" s="81"/>
      <c r="O11" s="81"/>
      <c r="P11" s="81"/>
      <c r="Q11" s="81"/>
      <c r="R11" s="81"/>
      <c r="S11" s="81"/>
      <c r="T11" s="81"/>
      <c r="U11" s="81"/>
      <c r="V11" s="179"/>
      <c r="W11" s="140"/>
    </row>
    <row r="12" spans="1:23" ht="13.5" customHeight="1">
      <c r="A12" s="196" t="s">
        <v>1063</v>
      </c>
      <c r="B12" s="81"/>
      <c r="C12" s="81"/>
      <c r="D12" s="81"/>
      <c r="E12" s="81"/>
      <c r="F12" s="81"/>
      <c r="G12" s="81"/>
      <c r="H12" s="81"/>
      <c r="I12" s="81"/>
      <c r="J12" s="81"/>
      <c r="K12" s="81"/>
      <c r="L12" s="81"/>
      <c r="M12" s="81"/>
      <c r="N12" s="81"/>
      <c r="O12" s="81"/>
      <c r="P12" s="81"/>
      <c r="Q12" s="81"/>
      <c r="R12" s="81"/>
      <c r="S12" s="81"/>
      <c r="T12" s="81"/>
      <c r="U12" s="81"/>
      <c r="V12" s="179"/>
      <c r="W12" s="140"/>
    </row>
    <row r="13" spans="1:23" ht="13.5" customHeight="1">
      <c r="A13" s="8" t="s">
        <v>1065</v>
      </c>
      <c r="B13" s="136"/>
      <c r="C13" s="136"/>
      <c r="D13" s="136"/>
      <c r="E13" s="136"/>
      <c r="F13" s="136"/>
      <c r="G13" s="136"/>
      <c r="H13" s="136"/>
      <c r="I13" s="136"/>
      <c r="J13" s="136"/>
      <c r="K13" s="136"/>
      <c r="L13" s="136"/>
      <c r="M13" s="136"/>
      <c r="N13" s="136"/>
      <c r="O13" s="136"/>
      <c r="P13" s="136"/>
      <c r="Q13" s="136"/>
      <c r="R13" s="136"/>
      <c r="S13" s="136"/>
      <c r="T13" s="136"/>
      <c r="U13" s="136"/>
      <c r="V13" s="180"/>
      <c r="W13" s="133"/>
    </row>
    <row r="14" spans="1:23" s="99" customFormat="1" ht="13.5" customHeight="1">
      <c r="A14" s="100" t="s">
        <v>1098</v>
      </c>
      <c r="B14" s="148">
        <f>'Scenario 1 Assumptions'!$D$109*'Scenario 1 Assumptions'!$B$104</f>
        <v>6.7499999999999999E-3</v>
      </c>
      <c r="C14" s="148">
        <v>0</v>
      </c>
      <c r="D14" s="148">
        <v>0</v>
      </c>
      <c r="E14" s="148">
        <f>'Scenario 1 Assumptions'!$D$109*'Scenario 1 Assumptions'!$B$104</f>
        <v>6.7499999999999999E-3</v>
      </c>
      <c r="F14" s="148">
        <v>0</v>
      </c>
      <c r="G14" s="148">
        <v>0</v>
      </c>
      <c r="H14" s="148">
        <f>'Scenario 1 Assumptions'!$D$109*'Scenario 1 Assumptions'!$B$104</f>
        <v>6.7499999999999999E-3</v>
      </c>
      <c r="I14" s="148">
        <v>0</v>
      </c>
      <c r="J14" s="148">
        <v>0</v>
      </c>
      <c r="K14" s="148">
        <f>'Scenario 1 Assumptions'!$D$109*'Scenario 1 Assumptions'!$B$104</f>
        <v>6.7499999999999999E-3</v>
      </c>
      <c r="L14" s="148">
        <v>0</v>
      </c>
      <c r="M14" s="148">
        <v>0</v>
      </c>
      <c r="N14" s="148">
        <f>'Scenario 1 Assumptions'!$D$109*'Scenario 1 Assumptions'!$B$104</f>
        <v>6.7499999999999999E-3</v>
      </c>
      <c r="O14" s="148">
        <v>0</v>
      </c>
      <c r="P14" s="148">
        <v>0</v>
      </c>
      <c r="Q14" s="148">
        <f>'Scenario 1 Assumptions'!$D$109*'Scenario 1 Assumptions'!$B$104</f>
        <v>6.7499999999999999E-3</v>
      </c>
      <c r="R14" s="148">
        <v>0</v>
      </c>
      <c r="S14" s="148">
        <v>0</v>
      </c>
      <c r="T14" s="148">
        <f>'Scenario 1 Assumptions'!$D$109*'Scenario 1 Assumptions'!$B$104</f>
        <v>6.7499999999999999E-3</v>
      </c>
      <c r="U14" s="148">
        <v>0</v>
      </c>
      <c r="V14" s="180">
        <f t="shared" ref="V14" si="0">SUM(B14:U14)</f>
        <v>4.725E-2</v>
      </c>
      <c r="W14" s="133">
        <f t="shared" ref="W14" si="1">V14/20</f>
        <v>2.3625E-3</v>
      </c>
    </row>
    <row r="15" spans="1:23" s="99" customFormat="1" ht="13.5" customHeight="1">
      <c r="A15" s="100" t="s">
        <v>1090</v>
      </c>
      <c r="B15" s="148">
        <v>0</v>
      </c>
      <c r="C15" s="148">
        <v>0</v>
      </c>
      <c r="D15" s="148">
        <v>0</v>
      </c>
      <c r="E15" s="148">
        <f>'Scenario 1 Assumptions'!$B$104*('Scenario 1 Assumptions'!$D$110+'Scenario 1 Assumptions'!$D$111)</f>
        <v>1.35E-2</v>
      </c>
      <c r="F15" s="148">
        <v>0</v>
      </c>
      <c r="G15" s="148">
        <v>0</v>
      </c>
      <c r="H15" s="148">
        <v>0</v>
      </c>
      <c r="I15" s="148">
        <v>0</v>
      </c>
      <c r="J15" s="148">
        <f>'Scenario 1 Assumptions'!$B$104*('Scenario 1 Assumptions'!$D$110+'Scenario 1 Assumptions'!$D$111)</f>
        <v>1.35E-2</v>
      </c>
      <c r="K15" s="148">
        <v>0</v>
      </c>
      <c r="L15" s="148">
        <v>0</v>
      </c>
      <c r="M15" s="148">
        <v>0</v>
      </c>
      <c r="N15" s="148">
        <v>0</v>
      </c>
      <c r="O15" s="148">
        <f>'Scenario 1 Assumptions'!$B$104*('Scenario 1 Assumptions'!$D$110+'Scenario 1 Assumptions'!$D$111)</f>
        <v>1.35E-2</v>
      </c>
      <c r="P15" s="148">
        <v>0</v>
      </c>
      <c r="Q15" s="148">
        <v>0</v>
      </c>
      <c r="R15" s="148">
        <v>0</v>
      </c>
      <c r="S15" s="148">
        <v>0</v>
      </c>
      <c r="T15" s="148">
        <f>'Scenario 1 Assumptions'!$B$104*('Scenario 1 Assumptions'!$D$110+'Scenario 1 Assumptions'!$D$111)</f>
        <v>1.35E-2</v>
      </c>
      <c r="U15" s="148">
        <v>0</v>
      </c>
      <c r="V15" s="180">
        <f t="shared" ref="V15:V21" si="2">SUM(B15:U15)</f>
        <v>5.3999999999999999E-2</v>
      </c>
      <c r="W15" s="133">
        <f t="shared" ref="W15:W21" si="3">V15/20</f>
        <v>2.7000000000000001E-3</v>
      </c>
    </row>
    <row r="16" spans="1:23" s="99" customFormat="1" ht="13.5" customHeight="1">
      <c r="A16" s="100" t="s">
        <v>1094</v>
      </c>
      <c r="B16" s="148">
        <f>'Scenario 1 Assumptions'!$D$112*'Scenario 1 Assumptions'!$B$104</f>
        <v>6.7499999999999999E-3</v>
      </c>
      <c r="C16" s="148">
        <v>0</v>
      </c>
      <c r="D16" s="148">
        <v>0</v>
      </c>
      <c r="E16" s="148">
        <v>0</v>
      </c>
      <c r="F16" s="148">
        <v>0</v>
      </c>
      <c r="G16" s="148">
        <v>0</v>
      </c>
      <c r="H16" s="148">
        <v>0</v>
      </c>
      <c r="I16" s="148">
        <v>0</v>
      </c>
      <c r="J16" s="148">
        <v>0</v>
      </c>
      <c r="K16" s="148">
        <v>0</v>
      </c>
      <c r="L16" s="148">
        <v>0</v>
      </c>
      <c r="M16" s="148">
        <v>0</v>
      </c>
      <c r="N16" s="148">
        <v>0</v>
      </c>
      <c r="O16" s="148">
        <v>0</v>
      </c>
      <c r="P16" s="148">
        <v>0</v>
      </c>
      <c r="Q16" s="148">
        <v>0</v>
      </c>
      <c r="R16" s="148">
        <v>0</v>
      </c>
      <c r="S16" s="148">
        <v>0</v>
      </c>
      <c r="T16" s="148">
        <v>0</v>
      </c>
      <c r="U16" s="148">
        <v>0</v>
      </c>
      <c r="V16" s="180">
        <f t="shared" si="2"/>
        <v>6.7499999999999999E-3</v>
      </c>
      <c r="W16" s="133">
        <f t="shared" si="3"/>
        <v>3.3750000000000002E-4</v>
      </c>
    </row>
    <row r="17" spans="1:23" s="99" customFormat="1" ht="13.5" customHeight="1">
      <c r="A17" s="100"/>
      <c r="B17" s="148"/>
      <c r="C17" s="148"/>
      <c r="D17" s="148"/>
      <c r="E17" s="148"/>
      <c r="F17" s="148"/>
      <c r="G17" s="148"/>
      <c r="H17" s="148"/>
      <c r="I17" s="148"/>
      <c r="J17" s="148"/>
      <c r="K17" s="148"/>
      <c r="L17" s="148"/>
      <c r="M17" s="148"/>
      <c r="N17" s="148"/>
      <c r="O17" s="148"/>
      <c r="P17" s="148"/>
      <c r="Q17" s="148"/>
      <c r="R17" s="148"/>
      <c r="S17" s="148"/>
      <c r="T17" s="148"/>
      <c r="U17" s="148"/>
      <c r="V17" s="180"/>
      <c r="W17" s="133"/>
    </row>
    <row r="18" spans="1:23" s="99" customFormat="1" ht="13.5" customHeight="1">
      <c r="A18" s="197" t="s">
        <v>1067</v>
      </c>
      <c r="B18" s="148"/>
      <c r="C18" s="148"/>
      <c r="D18" s="148"/>
      <c r="E18" s="148"/>
      <c r="F18" s="148"/>
      <c r="G18" s="148"/>
      <c r="H18" s="148"/>
      <c r="I18" s="148"/>
      <c r="J18" s="148"/>
      <c r="K18" s="148"/>
      <c r="L18" s="148"/>
      <c r="M18" s="148"/>
      <c r="N18" s="148"/>
      <c r="O18" s="148"/>
      <c r="P18" s="148"/>
      <c r="Q18" s="148"/>
      <c r="R18" s="148"/>
      <c r="S18" s="148"/>
      <c r="T18" s="148"/>
      <c r="U18" s="148"/>
      <c r="V18" s="180"/>
      <c r="W18" s="133"/>
    </row>
    <row r="19" spans="1:23" s="99" customFormat="1" ht="13.5" customHeight="1">
      <c r="A19" s="10" t="s">
        <v>1065</v>
      </c>
      <c r="B19" s="148"/>
      <c r="C19" s="148"/>
      <c r="D19" s="148"/>
      <c r="E19" s="148"/>
      <c r="F19" s="148"/>
      <c r="G19" s="148"/>
      <c r="H19" s="148"/>
      <c r="I19" s="148"/>
      <c r="J19" s="148"/>
      <c r="K19" s="148"/>
      <c r="L19" s="148"/>
      <c r="M19" s="148"/>
      <c r="N19" s="148"/>
      <c r="O19" s="148"/>
      <c r="P19" s="148"/>
      <c r="Q19" s="148"/>
      <c r="R19" s="148"/>
      <c r="S19" s="148"/>
      <c r="T19" s="148"/>
      <c r="U19" s="148"/>
      <c r="V19" s="180"/>
      <c r="W19" s="133"/>
    </row>
    <row r="20" spans="1:23" s="99" customFormat="1" ht="13.5" customHeight="1">
      <c r="A20" s="100" t="s">
        <v>1101</v>
      </c>
      <c r="B20" s="148">
        <v>0</v>
      </c>
      <c r="C20" s="148">
        <f>'Scenario 1 Assumptions'!$B$149*'Scenario 1 Assumptions'!$C$153</f>
        <v>6.7499999999999999E-3</v>
      </c>
      <c r="D20" s="148">
        <v>0</v>
      </c>
      <c r="E20" s="148">
        <v>0</v>
      </c>
      <c r="F20" s="148">
        <f>'Scenario 1 Assumptions'!$B$149*'Scenario 1 Assumptions'!$C$153</f>
        <v>6.7499999999999999E-3</v>
      </c>
      <c r="G20" s="148">
        <v>0</v>
      </c>
      <c r="H20" s="148">
        <v>0</v>
      </c>
      <c r="I20" s="148">
        <v>0</v>
      </c>
      <c r="J20" s="148">
        <v>0</v>
      </c>
      <c r="K20" s="148">
        <v>0</v>
      </c>
      <c r="L20" s="148">
        <v>0</v>
      </c>
      <c r="M20" s="148">
        <v>0</v>
      </c>
      <c r="N20" s="148">
        <v>0</v>
      </c>
      <c r="O20" s="148">
        <v>0</v>
      </c>
      <c r="P20" s="148">
        <v>0</v>
      </c>
      <c r="Q20" s="148">
        <v>0</v>
      </c>
      <c r="R20" s="148">
        <v>0</v>
      </c>
      <c r="S20" s="148">
        <v>0</v>
      </c>
      <c r="T20" s="148">
        <v>0</v>
      </c>
      <c r="U20" s="148">
        <v>0</v>
      </c>
      <c r="V20" s="180">
        <f t="shared" si="2"/>
        <v>1.35E-2</v>
      </c>
      <c r="W20" s="133">
        <f t="shared" si="3"/>
        <v>6.7500000000000004E-4</v>
      </c>
    </row>
    <row r="21" spans="1:23" s="99" customFormat="1" ht="13.5" customHeight="1">
      <c r="A21" s="100" t="s">
        <v>183</v>
      </c>
      <c r="B21" s="148">
        <v>0</v>
      </c>
      <c r="C21" s="148">
        <v>0</v>
      </c>
      <c r="D21" s="148">
        <v>0</v>
      </c>
      <c r="E21" s="148">
        <v>0</v>
      </c>
      <c r="F21" s="148">
        <v>0</v>
      </c>
      <c r="G21" s="148">
        <v>0</v>
      </c>
      <c r="H21" s="148">
        <v>0</v>
      </c>
      <c r="I21" s="148">
        <v>0</v>
      </c>
      <c r="J21" s="148">
        <v>0</v>
      </c>
      <c r="K21" s="148">
        <f>'Scenario 1 Assumptions'!$B$149*'Scenario 1 Assumptions'!$C$154</f>
        <v>6.7499999999999999E-3</v>
      </c>
      <c r="L21" s="148">
        <v>0</v>
      </c>
      <c r="M21" s="148">
        <v>0</v>
      </c>
      <c r="N21" s="148">
        <v>0</v>
      </c>
      <c r="O21" s="148">
        <v>0</v>
      </c>
      <c r="P21" s="148">
        <v>0</v>
      </c>
      <c r="Q21" s="148">
        <v>0</v>
      </c>
      <c r="R21" s="148">
        <v>0</v>
      </c>
      <c r="S21" s="148">
        <v>0</v>
      </c>
      <c r="T21" s="148">
        <v>0</v>
      </c>
      <c r="U21" s="148">
        <v>0</v>
      </c>
      <c r="V21" s="180">
        <f t="shared" si="2"/>
        <v>6.7499999999999999E-3</v>
      </c>
      <c r="W21" s="133">
        <f t="shared" si="3"/>
        <v>3.3750000000000002E-4</v>
      </c>
    </row>
    <row r="22" spans="1:23" s="99" customFormat="1" ht="13.5" customHeight="1">
      <c r="A22" s="100"/>
      <c r="B22" s="148"/>
      <c r="C22" s="148"/>
      <c r="D22" s="148"/>
      <c r="E22" s="148"/>
      <c r="F22" s="148"/>
      <c r="G22" s="148"/>
      <c r="H22" s="148"/>
      <c r="I22" s="148"/>
      <c r="J22" s="148"/>
      <c r="K22" s="148"/>
      <c r="L22" s="148"/>
      <c r="M22" s="148"/>
      <c r="N22" s="148"/>
      <c r="O22" s="148"/>
      <c r="P22" s="148"/>
      <c r="Q22" s="148"/>
      <c r="R22" s="148"/>
      <c r="S22" s="148"/>
      <c r="T22" s="148"/>
      <c r="U22" s="148"/>
      <c r="V22" s="180"/>
      <c r="W22" s="133"/>
    </row>
    <row r="23" spans="1:23" s="100" customFormat="1" ht="13.5" customHeight="1">
      <c r="A23" s="197" t="s">
        <v>1062</v>
      </c>
      <c r="B23" s="52"/>
      <c r="C23" s="52"/>
      <c r="D23" s="52"/>
      <c r="E23" s="52"/>
      <c r="F23" s="52"/>
      <c r="G23" s="52"/>
      <c r="H23" s="52"/>
      <c r="I23" s="52"/>
      <c r="J23" s="52"/>
      <c r="K23" s="52"/>
      <c r="L23" s="52"/>
      <c r="M23" s="52"/>
      <c r="N23" s="52"/>
      <c r="O23" s="52"/>
      <c r="P23" s="52"/>
      <c r="Q23" s="52"/>
      <c r="R23" s="52"/>
      <c r="S23" s="52"/>
      <c r="T23" s="52"/>
      <c r="U23" s="52"/>
      <c r="V23" s="180"/>
      <c r="W23" s="133"/>
    </row>
    <row r="24" spans="1:23" s="100" customFormat="1" ht="13.5" customHeight="1">
      <c r="A24" s="10" t="s">
        <v>1060</v>
      </c>
      <c r="B24" s="52"/>
      <c r="C24" s="52"/>
      <c r="D24" s="52"/>
      <c r="E24" s="52"/>
      <c r="F24" s="52"/>
      <c r="G24" s="52"/>
      <c r="H24" s="52"/>
      <c r="I24" s="52"/>
      <c r="J24" s="52"/>
      <c r="K24" s="52"/>
      <c r="L24" s="52"/>
      <c r="M24" s="52"/>
      <c r="N24" s="52"/>
      <c r="O24" s="52"/>
      <c r="P24" s="52"/>
      <c r="Q24" s="52"/>
      <c r="R24" s="52"/>
      <c r="S24" s="52"/>
      <c r="T24" s="52"/>
      <c r="U24" s="52"/>
      <c r="V24" s="180"/>
      <c r="W24" s="133"/>
    </row>
    <row r="25" spans="1:23" s="100" customFormat="1" ht="13.5" customHeight="1">
      <c r="A25" s="100" t="s">
        <v>1096</v>
      </c>
      <c r="B25" s="52">
        <f>'Scenario 1 Assumptions'!$D$15*'Scenario 1 Assumptions'!$B$8</f>
        <v>1.1474999999999999E-2</v>
      </c>
      <c r="C25" s="52">
        <f>'Scenario 1 Assumptions'!$D$15*'Scenario 1 Assumptions'!$B$8</f>
        <v>1.1474999999999999E-2</v>
      </c>
      <c r="D25" s="52">
        <f>'Scenario 1 Assumptions'!$D$15*'Scenario 1 Assumptions'!$B$8</f>
        <v>1.1474999999999999E-2</v>
      </c>
      <c r="E25" s="52">
        <f>'Scenario 1 Assumptions'!$D$15*'Scenario 1 Assumptions'!$B$8</f>
        <v>1.1474999999999999E-2</v>
      </c>
      <c r="F25" s="52">
        <f>'Scenario 1 Assumptions'!$D$15*'Scenario 1 Assumptions'!$B$8</f>
        <v>1.1474999999999999E-2</v>
      </c>
      <c r="G25" s="52">
        <f>'Scenario 1 Assumptions'!$D$15*'Scenario 1 Assumptions'!$B$8</f>
        <v>1.1474999999999999E-2</v>
      </c>
      <c r="H25" s="52">
        <f>'Scenario 1 Assumptions'!$D$15*'Scenario 1 Assumptions'!$B$8</f>
        <v>1.1474999999999999E-2</v>
      </c>
      <c r="I25" s="52">
        <f>'Scenario 1 Assumptions'!$D$15*'Scenario 1 Assumptions'!$B$8</f>
        <v>1.1474999999999999E-2</v>
      </c>
      <c r="J25" s="52">
        <f>'Scenario 1 Assumptions'!$D$15*'Scenario 1 Assumptions'!$B$8</f>
        <v>1.1474999999999999E-2</v>
      </c>
      <c r="K25" s="52">
        <f>'Scenario 1 Assumptions'!$D$15*'Scenario 1 Assumptions'!$B$8</f>
        <v>1.1474999999999999E-2</v>
      </c>
      <c r="L25" s="52">
        <f>'Scenario 1 Assumptions'!$D$15*'Scenario 1 Assumptions'!$B$8</f>
        <v>1.1474999999999999E-2</v>
      </c>
      <c r="M25" s="52">
        <f>'Scenario 1 Assumptions'!$D$15*'Scenario 1 Assumptions'!$B$8</f>
        <v>1.1474999999999999E-2</v>
      </c>
      <c r="N25" s="52">
        <f>'Scenario 1 Assumptions'!$D$15*'Scenario 1 Assumptions'!$B$8</f>
        <v>1.1474999999999999E-2</v>
      </c>
      <c r="O25" s="52">
        <f>'Scenario 1 Assumptions'!$D$15*'Scenario 1 Assumptions'!$B$8</f>
        <v>1.1474999999999999E-2</v>
      </c>
      <c r="P25" s="52">
        <f>'Scenario 1 Assumptions'!$D$15*'Scenario 1 Assumptions'!$B$8</f>
        <v>1.1474999999999999E-2</v>
      </c>
      <c r="Q25" s="52">
        <f>'Scenario 1 Assumptions'!$D$15*'Scenario 1 Assumptions'!$B$8</f>
        <v>1.1474999999999999E-2</v>
      </c>
      <c r="R25" s="52">
        <f>'Scenario 1 Assumptions'!$D$15*'Scenario 1 Assumptions'!$B$8</f>
        <v>1.1474999999999999E-2</v>
      </c>
      <c r="S25" s="52">
        <f>'Scenario 1 Assumptions'!$D$15*'Scenario 1 Assumptions'!$B$8</f>
        <v>1.1474999999999999E-2</v>
      </c>
      <c r="T25" s="52">
        <f>'Scenario 1 Assumptions'!$D$15*'Scenario 1 Assumptions'!$B$8</f>
        <v>1.1474999999999999E-2</v>
      </c>
      <c r="U25" s="52">
        <f>'Scenario 1 Assumptions'!$D$15*'Scenario 1 Assumptions'!$B$8</f>
        <v>1.1474999999999999E-2</v>
      </c>
      <c r="V25" s="180">
        <f>SUM(B25:U25)</f>
        <v>0.22950000000000009</v>
      </c>
      <c r="W25" s="133">
        <f>V25/20</f>
        <v>1.1475000000000004E-2</v>
      </c>
    </row>
    <row r="26" spans="1:23" s="99" customFormat="1" ht="13.5" customHeight="1">
      <c r="A26" s="100" t="s">
        <v>1030</v>
      </c>
      <c r="B26" s="52">
        <f>'Scenario 1 Assumptions'!$D16*'Scenario 1 Assumptions'!$B8</f>
        <v>0</v>
      </c>
      <c r="C26" s="52">
        <f>'Scenario 1 Assumptions'!$D16*'Scenario 1 Assumptions'!$B8</f>
        <v>0</v>
      </c>
      <c r="D26" s="52">
        <f>'Scenario 1 Assumptions'!$D16*'Scenario 1 Assumptions'!$B8</f>
        <v>0</v>
      </c>
      <c r="E26" s="52">
        <f>'Scenario 1 Assumptions'!$D16*'Scenario 1 Assumptions'!$B8</f>
        <v>0</v>
      </c>
      <c r="F26" s="52">
        <f>'Scenario 1 Assumptions'!$D16*'Scenario 1 Assumptions'!$B8</f>
        <v>0</v>
      </c>
      <c r="G26" s="52">
        <f>'Scenario 1 Assumptions'!$D16*'Scenario 1 Assumptions'!$B8</f>
        <v>0</v>
      </c>
      <c r="H26" s="52">
        <f>'Scenario 1 Assumptions'!$D16*'Scenario 1 Assumptions'!$B8</f>
        <v>0</v>
      </c>
      <c r="I26" s="52">
        <f>'Scenario 1 Assumptions'!$D16*'Scenario 1 Assumptions'!$B8</f>
        <v>0</v>
      </c>
      <c r="J26" s="52">
        <f>'Scenario 1 Assumptions'!$D16*'Scenario 1 Assumptions'!$B8</f>
        <v>0</v>
      </c>
      <c r="K26" s="52">
        <f>'Scenario 1 Assumptions'!$D16*'Scenario 1 Assumptions'!$B8</f>
        <v>0</v>
      </c>
      <c r="L26" s="52">
        <f>'Scenario 1 Assumptions'!$D16*'Scenario 1 Assumptions'!$B8</f>
        <v>0</v>
      </c>
      <c r="M26" s="52">
        <f>'Scenario 1 Assumptions'!$D16*'Scenario 1 Assumptions'!$B8</f>
        <v>0</v>
      </c>
      <c r="N26" s="52">
        <f>'Scenario 1 Assumptions'!$D16*'Scenario 1 Assumptions'!$B8</f>
        <v>0</v>
      </c>
      <c r="O26" s="52">
        <f>'Scenario 1 Assumptions'!$D16*'Scenario 1 Assumptions'!$B8</f>
        <v>0</v>
      </c>
      <c r="P26" s="52">
        <f>'Scenario 1 Assumptions'!$D16*'Scenario 1 Assumptions'!$B8</f>
        <v>0</v>
      </c>
      <c r="Q26" s="52">
        <f>'Scenario 1 Assumptions'!$D16*'Scenario 1 Assumptions'!$B8</f>
        <v>0</v>
      </c>
      <c r="R26" s="52">
        <f>'Scenario 1 Assumptions'!$D16*'Scenario 1 Assumptions'!$B8</f>
        <v>0</v>
      </c>
      <c r="S26" s="52">
        <f>'Scenario 1 Assumptions'!$D16*'Scenario 1 Assumptions'!$B8</f>
        <v>0</v>
      </c>
      <c r="T26" s="52">
        <f>'Scenario 1 Assumptions'!$D16*'Scenario 1 Assumptions'!$B8</f>
        <v>0</v>
      </c>
      <c r="U26" s="52">
        <f>'Scenario 1 Assumptions'!$D16*'Scenario 1 Assumptions'!$B8</f>
        <v>0</v>
      </c>
      <c r="V26" s="180">
        <f>SUM(B26:U26)</f>
        <v>0</v>
      </c>
      <c r="W26" s="133">
        <f>V26/20</f>
        <v>0</v>
      </c>
    </row>
    <row r="27" spans="1:23" s="99" customFormat="1" ht="13.5" customHeight="1">
      <c r="A27" s="100" t="s">
        <v>1100</v>
      </c>
      <c r="B27" s="52">
        <f>'Scenario 1 Assumptions'!$D17*'Scenario 1 Assumptions'!$B8</f>
        <v>4.0499999999999998E-3</v>
      </c>
      <c r="C27" s="52">
        <f>'Scenario 1 Assumptions'!$D17*'Scenario 1 Assumptions'!$B8</f>
        <v>4.0499999999999998E-3</v>
      </c>
      <c r="D27" s="52">
        <f>'Scenario 1 Assumptions'!$D17*'Scenario 1 Assumptions'!$B8</f>
        <v>4.0499999999999998E-3</v>
      </c>
      <c r="E27" s="52">
        <f>'Scenario 1 Assumptions'!$D17*'Scenario 1 Assumptions'!$B8</f>
        <v>4.0499999999999998E-3</v>
      </c>
      <c r="F27" s="52">
        <f>'Scenario 1 Assumptions'!$D17*'Scenario 1 Assumptions'!$B8</f>
        <v>4.0499999999999998E-3</v>
      </c>
      <c r="G27" s="52">
        <f>'Scenario 1 Assumptions'!$D17*'Scenario 1 Assumptions'!$B8</f>
        <v>4.0499999999999998E-3</v>
      </c>
      <c r="H27" s="52">
        <f>'Scenario 1 Assumptions'!$D17*'Scenario 1 Assumptions'!$B8</f>
        <v>4.0499999999999998E-3</v>
      </c>
      <c r="I27" s="52">
        <f>'Scenario 1 Assumptions'!$D17*'Scenario 1 Assumptions'!$B8</f>
        <v>4.0499999999999998E-3</v>
      </c>
      <c r="J27" s="52">
        <f>'Scenario 1 Assumptions'!$D17*'Scenario 1 Assumptions'!$B8</f>
        <v>4.0499999999999998E-3</v>
      </c>
      <c r="K27" s="52">
        <f>'Scenario 1 Assumptions'!$D17*'Scenario 1 Assumptions'!$B8</f>
        <v>4.0499999999999998E-3</v>
      </c>
      <c r="L27" s="52">
        <f>'Scenario 1 Assumptions'!$D17*'Scenario 1 Assumptions'!$B8</f>
        <v>4.0499999999999998E-3</v>
      </c>
      <c r="M27" s="52">
        <f>'Scenario 1 Assumptions'!$D17*'Scenario 1 Assumptions'!$B8</f>
        <v>4.0499999999999998E-3</v>
      </c>
      <c r="N27" s="52">
        <f>'Scenario 1 Assumptions'!$D17*'Scenario 1 Assumptions'!$B8</f>
        <v>4.0499999999999998E-3</v>
      </c>
      <c r="O27" s="52">
        <f>'Scenario 1 Assumptions'!$D17*'Scenario 1 Assumptions'!$B8</f>
        <v>4.0499999999999998E-3</v>
      </c>
      <c r="P27" s="52">
        <f>'Scenario 1 Assumptions'!$D17*'Scenario 1 Assumptions'!$B8</f>
        <v>4.0499999999999998E-3</v>
      </c>
      <c r="Q27" s="52">
        <f>'Scenario 1 Assumptions'!$D17*'Scenario 1 Assumptions'!$B8</f>
        <v>4.0499999999999998E-3</v>
      </c>
      <c r="R27" s="52">
        <f>'Scenario 1 Assumptions'!$D17*'Scenario 1 Assumptions'!$B8</f>
        <v>4.0499999999999998E-3</v>
      </c>
      <c r="S27" s="52">
        <f>'Scenario 1 Assumptions'!$D17*'Scenario 1 Assumptions'!$B8</f>
        <v>4.0499999999999998E-3</v>
      </c>
      <c r="T27" s="52">
        <f>'Scenario 1 Assumptions'!$D17*'Scenario 1 Assumptions'!$B8</f>
        <v>4.0499999999999998E-3</v>
      </c>
      <c r="U27" s="52">
        <f>'Scenario 1 Assumptions'!$D17*'Scenario 1 Assumptions'!$B8</f>
        <v>4.0499999999999998E-3</v>
      </c>
      <c r="V27" s="180">
        <f>SUM(B27:U27)</f>
        <v>8.0999999999999975E-2</v>
      </c>
      <c r="W27" s="133">
        <f>V27/20</f>
        <v>4.0499999999999989E-3</v>
      </c>
    </row>
    <row r="28" spans="1:23" s="99" customFormat="1" ht="13.5" customHeight="1">
      <c r="A28" s="10" t="s">
        <v>1066</v>
      </c>
      <c r="B28" s="52"/>
      <c r="C28" s="52"/>
      <c r="D28" s="52"/>
      <c r="E28" s="52"/>
      <c r="F28" s="52"/>
      <c r="G28" s="52"/>
      <c r="H28" s="52"/>
      <c r="I28" s="52"/>
      <c r="J28" s="52"/>
      <c r="K28" s="52"/>
      <c r="L28" s="52"/>
      <c r="M28" s="52"/>
      <c r="N28" s="52"/>
      <c r="O28" s="52"/>
      <c r="P28" s="52"/>
      <c r="Q28" s="52"/>
      <c r="R28" s="52"/>
      <c r="S28" s="52"/>
      <c r="T28" s="52"/>
      <c r="U28" s="52"/>
      <c r="V28" s="180"/>
      <c r="W28" s="133"/>
    </row>
    <row r="29" spans="1:23" s="99" customFormat="1" ht="13.5" customHeight="1">
      <c r="A29" s="100" t="s">
        <v>1099</v>
      </c>
      <c r="B29" s="52">
        <f>'Scenario 1 Assumptions'!$B$85</f>
        <v>1.4000000000000002E-3</v>
      </c>
      <c r="C29" s="52">
        <f>'Scenario 1 Assumptions'!$B$85</f>
        <v>1.4000000000000002E-3</v>
      </c>
      <c r="D29" s="52">
        <f>'Scenario 1 Assumptions'!$B$85</f>
        <v>1.4000000000000002E-3</v>
      </c>
      <c r="E29" s="52">
        <f>'Scenario 1 Assumptions'!$B$85</f>
        <v>1.4000000000000002E-3</v>
      </c>
      <c r="F29" s="52">
        <f>'Scenario 1 Assumptions'!$B$85</f>
        <v>1.4000000000000002E-3</v>
      </c>
      <c r="G29" s="52">
        <f>'Scenario 1 Assumptions'!$B$85</f>
        <v>1.4000000000000002E-3</v>
      </c>
      <c r="H29" s="52">
        <f>'Scenario 1 Assumptions'!$B$85</f>
        <v>1.4000000000000002E-3</v>
      </c>
      <c r="I29" s="52">
        <f>'Scenario 1 Assumptions'!$B$85</f>
        <v>1.4000000000000002E-3</v>
      </c>
      <c r="J29" s="52">
        <f>'Scenario 1 Assumptions'!$B$85</f>
        <v>1.4000000000000002E-3</v>
      </c>
      <c r="K29" s="52">
        <f>'Scenario 1 Assumptions'!$B$85</f>
        <v>1.4000000000000002E-3</v>
      </c>
      <c r="L29" s="52">
        <f>'Scenario 1 Assumptions'!$B$85</f>
        <v>1.4000000000000002E-3</v>
      </c>
      <c r="M29" s="52">
        <f>'Scenario 1 Assumptions'!$B$85</f>
        <v>1.4000000000000002E-3</v>
      </c>
      <c r="N29" s="52">
        <f>'Scenario 1 Assumptions'!$B$85</f>
        <v>1.4000000000000002E-3</v>
      </c>
      <c r="O29" s="52">
        <f>'Scenario 1 Assumptions'!$B$85</f>
        <v>1.4000000000000002E-3</v>
      </c>
      <c r="P29" s="52">
        <f>'Scenario 1 Assumptions'!$B$85</f>
        <v>1.4000000000000002E-3</v>
      </c>
      <c r="Q29" s="52">
        <f>'Scenario 1 Assumptions'!$B$85</f>
        <v>1.4000000000000002E-3</v>
      </c>
      <c r="R29" s="52">
        <f>'Scenario 1 Assumptions'!$B$85</f>
        <v>1.4000000000000002E-3</v>
      </c>
      <c r="S29" s="52">
        <f>'Scenario 1 Assumptions'!$B$85</f>
        <v>1.4000000000000002E-3</v>
      </c>
      <c r="T29" s="52">
        <f>'Scenario 1 Assumptions'!$B$85</f>
        <v>1.4000000000000002E-3</v>
      </c>
      <c r="U29" s="52">
        <f>'Scenario 1 Assumptions'!$B$85</f>
        <v>1.4000000000000002E-3</v>
      </c>
      <c r="V29" s="180">
        <f>SUM(B29:U29)</f>
        <v>2.799999999999999E-2</v>
      </c>
      <c r="W29" s="133">
        <f>V29/20</f>
        <v>1.3999999999999996E-3</v>
      </c>
    </row>
    <row r="30" spans="1:23" s="99" customFormat="1" ht="13.5" customHeight="1">
      <c r="A30" s="100"/>
      <c r="B30" s="153"/>
      <c r="C30" s="153"/>
      <c r="D30" s="153"/>
      <c r="E30" s="153"/>
      <c r="F30" s="153"/>
      <c r="G30" s="153"/>
      <c r="H30" s="153"/>
      <c r="I30" s="153"/>
      <c r="J30" s="153"/>
      <c r="K30" s="153"/>
      <c r="L30" s="153"/>
      <c r="M30" s="153"/>
      <c r="N30" s="153"/>
      <c r="O30" s="153"/>
      <c r="P30" s="153"/>
      <c r="Q30" s="153"/>
      <c r="R30" s="153"/>
      <c r="S30" s="153"/>
      <c r="T30" s="153"/>
      <c r="U30" s="153"/>
      <c r="V30" s="181"/>
      <c r="W30" s="151"/>
    </row>
    <row r="31" spans="1:23" s="99" customFormat="1" ht="13.5" customHeight="1">
      <c r="A31" s="200" t="s">
        <v>679</v>
      </c>
      <c r="B31" s="148">
        <f>SUM(B14:B27)</f>
        <v>2.9024999999999995E-2</v>
      </c>
      <c r="C31" s="148">
        <f t="shared" ref="C31:U31" si="4">SUM(C14:C27)</f>
        <v>2.2274999999999996E-2</v>
      </c>
      <c r="D31" s="148">
        <f t="shared" si="4"/>
        <v>1.5524999999999999E-2</v>
      </c>
      <c r="E31" s="148">
        <f t="shared" si="4"/>
        <v>3.5775000000000001E-2</v>
      </c>
      <c r="F31" s="148">
        <f t="shared" si="4"/>
        <v>2.2274999999999996E-2</v>
      </c>
      <c r="G31" s="148">
        <f t="shared" si="4"/>
        <v>1.5524999999999999E-2</v>
      </c>
      <c r="H31" s="148">
        <f t="shared" si="4"/>
        <v>2.2274999999999996E-2</v>
      </c>
      <c r="I31" s="148">
        <f t="shared" si="4"/>
        <v>1.5524999999999999E-2</v>
      </c>
      <c r="J31" s="148">
        <f t="shared" si="4"/>
        <v>2.9024999999999995E-2</v>
      </c>
      <c r="K31" s="148">
        <f t="shared" si="4"/>
        <v>2.9024999999999995E-2</v>
      </c>
      <c r="L31" s="148">
        <f t="shared" si="4"/>
        <v>1.5524999999999999E-2</v>
      </c>
      <c r="M31" s="148">
        <f t="shared" si="4"/>
        <v>1.5524999999999999E-2</v>
      </c>
      <c r="N31" s="148">
        <f t="shared" si="4"/>
        <v>2.2274999999999996E-2</v>
      </c>
      <c r="O31" s="148">
        <f t="shared" si="4"/>
        <v>2.9024999999999995E-2</v>
      </c>
      <c r="P31" s="148">
        <f t="shared" si="4"/>
        <v>1.5524999999999999E-2</v>
      </c>
      <c r="Q31" s="148">
        <f t="shared" si="4"/>
        <v>2.2274999999999996E-2</v>
      </c>
      <c r="R31" s="148">
        <f t="shared" si="4"/>
        <v>1.5524999999999999E-2</v>
      </c>
      <c r="S31" s="148">
        <f t="shared" si="4"/>
        <v>1.5524999999999999E-2</v>
      </c>
      <c r="T31" s="148">
        <f t="shared" si="4"/>
        <v>3.5775000000000001E-2</v>
      </c>
      <c r="U31" s="148">
        <f t="shared" si="4"/>
        <v>1.5524999999999999E-2</v>
      </c>
      <c r="V31" s="180">
        <f t="shared" ref="V31" si="5">SUM(B31:U31)</f>
        <v>0.43875000000000003</v>
      </c>
      <c r="W31" s="133">
        <f>V31/20</f>
        <v>2.1937500000000002E-2</v>
      </c>
    </row>
    <row r="32" spans="1:23" s="99" customFormat="1" ht="13.5" customHeight="1">
      <c r="A32" s="200" t="s">
        <v>680</v>
      </c>
      <c r="B32" s="52">
        <f>SUM(B29)</f>
        <v>1.4000000000000002E-3</v>
      </c>
      <c r="C32" s="52">
        <f t="shared" ref="C32:U32" si="6">SUM(C29)</f>
        <v>1.4000000000000002E-3</v>
      </c>
      <c r="D32" s="52">
        <f t="shared" si="6"/>
        <v>1.4000000000000002E-3</v>
      </c>
      <c r="E32" s="52">
        <f t="shared" si="6"/>
        <v>1.4000000000000002E-3</v>
      </c>
      <c r="F32" s="52">
        <f t="shared" si="6"/>
        <v>1.4000000000000002E-3</v>
      </c>
      <c r="G32" s="52">
        <f t="shared" si="6"/>
        <v>1.4000000000000002E-3</v>
      </c>
      <c r="H32" s="52">
        <f t="shared" si="6"/>
        <v>1.4000000000000002E-3</v>
      </c>
      <c r="I32" s="52">
        <f t="shared" si="6"/>
        <v>1.4000000000000002E-3</v>
      </c>
      <c r="J32" s="52">
        <f t="shared" si="6"/>
        <v>1.4000000000000002E-3</v>
      </c>
      <c r="K32" s="52">
        <f t="shared" si="6"/>
        <v>1.4000000000000002E-3</v>
      </c>
      <c r="L32" s="52">
        <f t="shared" si="6"/>
        <v>1.4000000000000002E-3</v>
      </c>
      <c r="M32" s="52">
        <f t="shared" si="6"/>
        <v>1.4000000000000002E-3</v>
      </c>
      <c r="N32" s="52">
        <f t="shared" si="6"/>
        <v>1.4000000000000002E-3</v>
      </c>
      <c r="O32" s="52">
        <f t="shared" si="6"/>
        <v>1.4000000000000002E-3</v>
      </c>
      <c r="P32" s="52">
        <f t="shared" si="6"/>
        <v>1.4000000000000002E-3</v>
      </c>
      <c r="Q32" s="52">
        <f t="shared" si="6"/>
        <v>1.4000000000000002E-3</v>
      </c>
      <c r="R32" s="52">
        <f t="shared" si="6"/>
        <v>1.4000000000000002E-3</v>
      </c>
      <c r="S32" s="52">
        <f t="shared" si="6"/>
        <v>1.4000000000000002E-3</v>
      </c>
      <c r="T32" s="52">
        <f t="shared" si="6"/>
        <v>1.4000000000000002E-3</v>
      </c>
      <c r="U32" s="52">
        <f t="shared" si="6"/>
        <v>1.4000000000000002E-3</v>
      </c>
      <c r="V32" s="180">
        <f>SUM(B32:U32)</f>
        <v>2.799999999999999E-2</v>
      </c>
      <c r="W32" s="133">
        <f>V32/20</f>
        <v>1.3999999999999996E-3</v>
      </c>
    </row>
    <row r="33" spans="1:23" s="3" customFormat="1" ht="13.5" customHeight="1">
      <c r="A33" s="49" t="s">
        <v>664</v>
      </c>
      <c r="B33" s="34">
        <f t="shared" ref="B33:U33" si="7">B32+B31</f>
        <v>3.0424999999999994E-2</v>
      </c>
      <c r="C33" s="34">
        <f t="shared" si="7"/>
        <v>2.3674999999999995E-2</v>
      </c>
      <c r="D33" s="34">
        <f t="shared" si="7"/>
        <v>1.6924999999999999E-2</v>
      </c>
      <c r="E33" s="34">
        <f t="shared" si="7"/>
        <v>3.7175E-2</v>
      </c>
      <c r="F33" s="34">
        <f t="shared" si="7"/>
        <v>2.3674999999999995E-2</v>
      </c>
      <c r="G33" s="34">
        <f t="shared" si="7"/>
        <v>1.6924999999999999E-2</v>
      </c>
      <c r="H33" s="34">
        <f t="shared" si="7"/>
        <v>2.3674999999999995E-2</v>
      </c>
      <c r="I33" s="34">
        <f t="shared" si="7"/>
        <v>1.6924999999999999E-2</v>
      </c>
      <c r="J33" s="34">
        <f t="shared" si="7"/>
        <v>3.0424999999999994E-2</v>
      </c>
      <c r="K33" s="34">
        <f t="shared" si="7"/>
        <v>3.0424999999999994E-2</v>
      </c>
      <c r="L33" s="34">
        <f t="shared" si="7"/>
        <v>1.6924999999999999E-2</v>
      </c>
      <c r="M33" s="34">
        <f t="shared" si="7"/>
        <v>1.6924999999999999E-2</v>
      </c>
      <c r="N33" s="34">
        <f t="shared" si="7"/>
        <v>2.3674999999999995E-2</v>
      </c>
      <c r="O33" s="34">
        <f t="shared" si="7"/>
        <v>3.0424999999999994E-2</v>
      </c>
      <c r="P33" s="34">
        <f t="shared" si="7"/>
        <v>1.6924999999999999E-2</v>
      </c>
      <c r="Q33" s="34">
        <f t="shared" si="7"/>
        <v>2.3674999999999995E-2</v>
      </c>
      <c r="R33" s="34">
        <f t="shared" si="7"/>
        <v>1.6924999999999999E-2</v>
      </c>
      <c r="S33" s="34">
        <f t="shared" si="7"/>
        <v>1.6924999999999999E-2</v>
      </c>
      <c r="T33" s="34">
        <f t="shared" si="7"/>
        <v>3.7175E-2</v>
      </c>
      <c r="U33" s="34">
        <f t="shared" si="7"/>
        <v>1.6924999999999999E-2</v>
      </c>
      <c r="V33" s="182">
        <f>SUM(B33:U33)</f>
        <v>0.46675000000000011</v>
      </c>
      <c r="W33" s="35">
        <f>V33/20</f>
        <v>2.3337500000000004E-2</v>
      </c>
    </row>
    <row r="34" spans="1:23" ht="13.5" customHeight="1">
      <c r="A34" s="134" t="s">
        <v>123</v>
      </c>
      <c r="B34" s="52">
        <v>0.96618357487922713</v>
      </c>
      <c r="C34" s="52">
        <v>0.93351070036640305</v>
      </c>
      <c r="D34" s="52">
        <v>0.90194270566802237</v>
      </c>
      <c r="E34" s="52">
        <v>0.87144222769857238</v>
      </c>
      <c r="F34" s="52">
        <v>0.84197316685852419</v>
      </c>
      <c r="G34" s="52">
        <v>0.81350064430775282</v>
      </c>
      <c r="H34" s="52">
        <v>0.78599096068381913</v>
      </c>
      <c r="I34" s="52">
        <v>0.75941155621625056</v>
      </c>
      <c r="J34" s="52">
        <v>0.73373097218961414</v>
      </c>
      <c r="K34" s="52">
        <v>0.70891881370977217</v>
      </c>
      <c r="L34" s="52">
        <v>0.68494571372924851</v>
      </c>
      <c r="M34" s="52">
        <v>0.66178329828912896</v>
      </c>
      <c r="N34" s="52">
        <v>0.63940415293635666</v>
      </c>
      <c r="O34" s="52">
        <v>0.61778179027667302</v>
      </c>
      <c r="P34" s="52">
        <v>0.59689061862480497</v>
      </c>
      <c r="Q34" s="52">
        <v>0.57670591171478747</v>
      </c>
      <c r="R34" s="52">
        <v>0.55720377943457733</v>
      </c>
      <c r="S34" s="52">
        <v>0.53836113955031628</v>
      </c>
      <c r="T34" s="52">
        <v>0.52015569038677911</v>
      </c>
      <c r="U34" s="52">
        <v>0.50256588443167061</v>
      </c>
      <c r="V34" s="180"/>
      <c r="W34" s="133"/>
    </row>
    <row r="35" spans="1:23" s="13" customFormat="1" ht="13.5" customHeight="1" thickBot="1">
      <c r="A35" s="50" t="s">
        <v>1069</v>
      </c>
      <c r="B35" s="34">
        <f t="shared" ref="B35:U35" si="8">B34*B33</f>
        <v>2.9396135265700479E-2</v>
      </c>
      <c r="C35" s="34">
        <f t="shared" si="8"/>
        <v>2.2100865831174588E-2</v>
      </c>
      <c r="D35" s="34">
        <f t="shared" si="8"/>
        <v>1.5265380293431278E-2</v>
      </c>
      <c r="E35" s="34">
        <f t="shared" si="8"/>
        <v>3.2395864814694426E-2</v>
      </c>
      <c r="F35" s="34">
        <f t="shared" si="8"/>
        <v>1.9933714725375556E-2</v>
      </c>
      <c r="G35" s="34">
        <f t="shared" si="8"/>
        <v>1.3768498404908716E-2</v>
      </c>
      <c r="H35" s="34">
        <f t="shared" si="8"/>
        <v>1.8608335994189415E-2</v>
      </c>
      <c r="I35" s="34">
        <f t="shared" si="8"/>
        <v>1.285304058896004E-2</v>
      </c>
      <c r="J35" s="34">
        <f t="shared" si="8"/>
        <v>2.2323764828869004E-2</v>
      </c>
      <c r="K35" s="34">
        <f t="shared" si="8"/>
        <v>2.1568854907119815E-2</v>
      </c>
      <c r="L35" s="34">
        <f t="shared" si="8"/>
        <v>1.159270620486753E-2</v>
      </c>
      <c r="M35" s="34">
        <f t="shared" si="8"/>
        <v>1.1200682323543506E-2</v>
      </c>
      <c r="N35" s="34">
        <f t="shared" si="8"/>
        <v>1.5137893320768241E-2</v>
      </c>
      <c r="O35" s="34">
        <f t="shared" si="8"/>
        <v>1.8796010969167772E-2</v>
      </c>
      <c r="P35" s="34">
        <f t="shared" si="8"/>
        <v>1.0102373720224824E-2</v>
      </c>
      <c r="Q35" s="34">
        <f t="shared" si="8"/>
        <v>1.365351245984759E-2</v>
      </c>
      <c r="R35" s="34">
        <f t="shared" si="8"/>
        <v>9.4306739669302204E-3</v>
      </c>
      <c r="S35" s="34">
        <f t="shared" si="8"/>
        <v>9.1117622868891017E-3</v>
      </c>
      <c r="T35" s="34">
        <f t="shared" si="8"/>
        <v>1.9336787790128512E-2</v>
      </c>
      <c r="U35" s="34">
        <f t="shared" si="8"/>
        <v>8.5059275940060249E-3</v>
      </c>
      <c r="V35" s="183">
        <f>SUM(B35:U35)</f>
        <v>0.33508278629079657</v>
      </c>
      <c r="W35" s="39"/>
    </row>
    <row r="36" spans="1:23" ht="13.5" customHeight="1">
      <c r="A36" s="143"/>
      <c r="B36" s="157"/>
      <c r="C36" s="157"/>
      <c r="D36" s="157"/>
      <c r="E36" s="157"/>
      <c r="F36" s="157"/>
      <c r="G36" s="157"/>
      <c r="H36" s="157"/>
      <c r="I36" s="157"/>
      <c r="J36" s="157"/>
      <c r="K36" s="157"/>
      <c r="L36" s="157"/>
      <c r="M36" s="157"/>
      <c r="N36" s="157"/>
      <c r="O36" s="157"/>
      <c r="P36" s="157"/>
      <c r="Q36" s="157"/>
      <c r="R36" s="157"/>
      <c r="S36" s="157"/>
      <c r="T36" s="157"/>
      <c r="U36" s="157"/>
      <c r="V36" s="180"/>
      <c r="W36" s="133"/>
    </row>
    <row r="37" spans="1:23" ht="13.5" customHeight="1">
      <c r="A37" s="158" t="s">
        <v>653</v>
      </c>
      <c r="B37" s="136"/>
      <c r="C37" s="136"/>
      <c r="D37" s="136"/>
      <c r="E37" s="136"/>
      <c r="F37" s="136"/>
      <c r="G37" s="136"/>
      <c r="H37" s="136"/>
      <c r="I37" s="136"/>
      <c r="J37" s="136"/>
      <c r="K37" s="136"/>
      <c r="L37" s="136"/>
      <c r="M37" s="136"/>
      <c r="N37" s="136"/>
      <c r="O37" s="136"/>
      <c r="P37" s="136"/>
      <c r="Q37" s="136"/>
      <c r="R37" s="136"/>
      <c r="S37" s="136"/>
      <c r="T37" s="136"/>
      <c r="U37" s="136"/>
      <c r="V37" s="179"/>
      <c r="W37" s="140"/>
    </row>
    <row r="38" spans="1:23" ht="13.5" customHeight="1">
      <c r="A38" s="13"/>
      <c r="B38" s="136"/>
      <c r="C38" s="136"/>
      <c r="D38" s="136"/>
      <c r="E38" s="136"/>
      <c r="F38" s="136"/>
      <c r="G38" s="136"/>
      <c r="H38" s="136"/>
      <c r="I38" s="136"/>
      <c r="J38" s="136"/>
      <c r="K38" s="136"/>
      <c r="L38" s="136"/>
      <c r="M38" s="136"/>
      <c r="N38" s="136"/>
      <c r="O38" s="136"/>
      <c r="P38" s="136"/>
      <c r="Q38" s="136"/>
      <c r="R38" s="136"/>
      <c r="S38" s="136"/>
      <c r="T38" s="136"/>
      <c r="U38" s="136"/>
      <c r="V38" s="179"/>
      <c r="W38" s="140"/>
    </row>
    <row r="39" spans="1:23" ht="13.5" customHeight="1">
      <c r="A39" s="159" t="s">
        <v>1063</v>
      </c>
      <c r="B39" s="136"/>
      <c r="C39" s="136"/>
      <c r="D39" s="136"/>
      <c r="E39" s="136"/>
      <c r="F39" s="136"/>
      <c r="G39" s="136"/>
      <c r="H39" s="136"/>
      <c r="I39" s="136"/>
      <c r="J39" s="136"/>
      <c r="K39" s="136"/>
      <c r="L39" s="136"/>
      <c r="M39" s="136"/>
      <c r="N39" s="136"/>
      <c r="O39" s="136"/>
      <c r="P39" s="136"/>
      <c r="Q39" s="136"/>
      <c r="R39" s="136"/>
      <c r="S39" s="136"/>
      <c r="T39" s="136"/>
      <c r="U39" s="136"/>
      <c r="V39" s="180"/>
      <c r="W39" s="133"/>
    </row>
    <row r="40" spans="1:23" ht="13.5" customHeight="1">
      <c r="A40" s="8" t="s">
        <v>1059</v>
      </c>
      <c r="B40" s="136"/>
      <c r="C40" s="136"/>
      <c r="D40" s="136"/>
      <c r="E40" s="136"/>
      <c r="F40" s="136"/>
      <c r="G40" s="136"/>
      <c r="H40" s="136"/>
      <c r="I40" s="136"/>
      <c r="J40" s="136"/>
      <c r="K40" s="136"/>
      <c r="L40" s="136"/>
      <c r="M40" s="136"/>
      <c r="N40" s="136"/>
      <c r="O40" s="136"/>
      <c r="P40" s="136"/>
      <c r="Q40" s="136"/>
      <c r="R40" s="136"/>
      <c r="S40" s="136"/>
      <c r="T40" s="136"/>
      <c r="U40" s="136"/>
      <c r="V40" s="180"/>
      <c r="W40" s="133"/>
    </row>
    <row r="41" spans="1:23" ht="13.5" customHeight="1">
      <c r="A41" s="160" t="s">
        <v>988</v>
      </c>
      <c r="B41" s="148">
        <f>'Scenario 1 Assumptions'!$B$104*('Scenario 1 Assumptions'!$D115)</f>
        <v>6.7499999999999999E-3</v>
      </c>
      <c r="C41" s="148">
        <v>0</v>
      </c>
      <c r="D41" s="148">
        <v>0</v>
      </c>
      <c r="E41" s="148">
        <f>'Scenario 1 Assumptions'!$B$104*('Scenario 1 Assumptions'!$D115)</f>
        <v>6.7499999999999999E-3</v>
      </c>
      <c r="F41" s="148">
        <v>0</v>
      </c>
      <c r="G41" s="148">
        <v>0</v>
      </c>
      <c r="H41" s="148">
        <f>'Scenario 1 Assumptions'!$B$104*('Scenario 1 Assumptions'!$D115)</f>
        <v>6.7499999999999999E-3</v>
      </c>
      <c r="I41" s="148">
        <v>0</v>
      </c>
      <c r="J41" s="148">
        <v>0</v>
      </c>
      <c r="K41" s="148">
        <f>'Scenario 1 Assumptions'!$B$104*('Scenario 1 Assumptions'!$D115)</f>
        <v>6.7499999999999999E-3</v>
      </c>
      <c r="L41" s="148">
        <v>0</v>
      </c>
      <c r="M41" s="148">
        <v>0</v>
      </c>
      <c r="N41" s="148">
        <f>'Scenario 1 Assumptions'!$B$104*('Scenario 1 Assumptions'!$D115)</f>
        <v>6.7499999999999999E-3</v>
      </c>
      <c r="O41" s="148">
        <v>0</v>
      </c>
      <c r="P41" s="148">
        <v>0</v>
      </c>
      <c r="Q41" s="148">
        <f>'Scenario 1 Assumptions'!$B$104*('Scenario 1 Assumptions'!$D115)</f>
        <v>6.7499999999999999E-3</v>
      </c>
      <c r="R41" s="148">
        <v>0</v>
      </c>
      <c r="S41" s="148">
        <v>0</v>
      </c>
      <c r="T41" s="148">
        <f>'Scenario 1 Assumptions'!$B$104*('Scenario 1 Assumptions'!$D115)</f>
        <v>6.7499999999999999E-3</v>
      </c>
      <c r="U41" s="148">
        <v>0</v>
      </c>
      <c r="V41" s="184">
        <f t="shared" ref="V41:V58" si="9">SUM(B41:U41)</f>
        <v>4.725E-2</v>
      </c>
      <c r="W41" s="161">
        <f t="shared" ref="W41:W58" si="10">V41/20</f>
        <v>2.3625E-3</v>
      </c>
    </row>
    <row r="42" spans="1:23" ht="13.5" customHeight="1">
      <c r="A42" s="160" t="s">
        <v>990</v>
      </c>
      <c r="B42" s="148">
        <f>'Scenario 1 Assumptions'!$B$104*('Scenario 1 Assumptions'!$D116)</f>
        <v>6.7499999999999999E-3</v>
      </c>
      <c r="C42" s="148">
        <v>0</v>
      </c>
      <c r="D42" s="148">
        <v>0</v>
      </c>
      <c r="E42" s="148">
        <f>'Scenario 1 Assumptions'!$B$104*('Scenario 1 Assumptions'!$D116)</f>
        <v>6.7499999999999999E-3</v>
      </c>
      <c r="F42" s="148">
        <v>0</v>
      </c>
      <c r="G42" s="148">
        <v>0</v>
      </c>
      <c r="H42" s="148">
        <f>'Scenario 1 Assumptions'!$B$104*('Scenario 1 Assumptions'!$D116)</f>
        <v>6.7499999999999999E-3</v>
      </c>
      <c r="I42" s="148">
        <v>0</v>
      </c>
      <c r="J42" s="148">
        <v>0</v>
      </c>
      <c r="K42" s="148">
        <f>'Scenario 1 Assumptions'!$B$104*('Scenario 1 Assumptions'!$D116)</f>
        <v>6.7499999999999999E-3</v>
      </c>
      <c r="L42" s="148">
        <v>0</v>
      </c>
      <c r="M42" s="148">
        <v>0</v>
      </c>
      <c r="N42" s="148">
        <f>'Scenario 1 Assumptions'!$B$104*('Scenario 1 Assumptions'!$D116)</f>
        <v>6.7499999999999999E-3</v>
      </c>
      <c r="O42" s="148">
        <v>0</v>
      </c>
      <c r="P42" s="148">
        <v>0</v>
      </c>
      <c r="Q42" s="148">
        <f>'Scenario 1 Assumptions'!$B$104*('Scenario 1 Assumptions'!$D116)</f>
        <v>6.7499999999999999E-3</v>
      </c>
      <c r="R42" s="148">
        <v>0</v>
      </c>
      <c r="S42" s="148">
        <v>0</v>
      </c>
      <c r="T42" s="148">
        <f>'Scenario 1 Assumptions'!$B$104*('Scenario 1 Assumptions'!$D116)</f>
        <v>6.7499999999999999E-3</v>
      </c>
      <c r="U42" s="148">
        <v>0</v>
      </c>
      <c r="V42" s="184">
        <f t="shared" si="9"/>
        <v>4.725E-2</v>
      </c>
      <c r="W42" s="161">
        <f t="shared" si="10"/>
        <v>2.3625E-3</v>
      </c>
    </row>
    <row r="43" spans="1:23" ht="13.5" customHeight="1">
      <c r="A43" s="160" t="s">
        <v>991</v>
      </c>
      <c r="B43" s="148">
        <f>'Scenario 1 Assumptions'!$B$104*('Scenario 1 Assumptions'!$D117)</f>
        <v>6.7499999999999999E-3</v>
      </c>
      <c r="C43" s="148">
        <v>0</v>
      </c>
      <c r="D43" s="148">
        <v>0</v>
      </c>
      <c r="E43" s="148">
        <f>'Scenario 1 Assumptions'!$B$104*('Scenario 1 Assumptions'!$D117)</f>
        <v>6.7499999999999999E-3</v>
      </c>
      <c r="F43" s="148">
        <v>0</v>
      </c>
      <c r="G43" s="148">
        <v>0</v>
      </c>
      <c r="H43" s="148">
        <f>'Scenario 1 Assumptions'!$B$104*('Scenario 1 Assumptions'!$D117)</f>
        <v>6.7499999999999999E-3</v>
      </c>
      <c r="I43" s="148">
        <v>0</v>
      </c>
      <c r="J43" s="148">
        <v>0</v>
      </c>
      <c r="K43" s="148">
        <f>'Scenario 1 Assumptions'!$B$104*('Scenario 1 Assumptions'!$D117)</f>
        <v>6.7499999999999999E-3</v>
      </c>
      <c r="L43" s="148">
        <v>0</v>
      </c>
      <c r="M43" s="148">
        <v>0</v>
      </c>
      <c r="N43" s="148">
        <f>'Scenario 1 Assumptions'!$B$104*('Scenario 1 Assumptions'!$D117)</f>
        <v>6.7499999999999999E-3</v>
      </c>
      <c r="O43" s="148">
        <v>0</v>
      </c>
      <c r="P43" s="148">
        <v>0</v>
      </c>
      <c r="Q43" s="148">
        <f>'Scenario 1 Assumptions'!$B$104*('Scenario 1 Assumptions'!$D117)</f>
        <v>6.7499999999999999E-3</v>
      </c>
      <c r="R43" s="148">
        <v>0</v>
      </c>
      <c r="S43" s="148">
        <v>0</v>
      </c>
      <c r="T43" s="148">
        <f>'Scenario 1 Assumptions'!$B$104*('Scenario 1 Assumptions'!$D117)</f>
        <v>6.7499999999999999E-3</v>
      </c>
      <c r="U43" s="148">
        <v>0</v>
      </c>
      <c r="V43" s="184">
        <f t="shared" ref="V43:V44" si="11">SUM(B43:U43)</f>
        <v>4.725E-2</v>
      </c>
      <c r="W43" s="161">
        <f t="shared" ref="W43:W44" si="12">V43/20</f>
        <v>2.3625E-3</v>
      </c>
    </row>
    <row r="44" spans="1:23" ht="13.5" customHeight="1">
      <c r="A44" s="160" t="s">
        <v>992</v>
      </c>
      <c r="B44" s="148">
        <f>'Scenario 1 Assumptions'!$B$104*('Scenario 1 Assumptions'!$D118)</f>
        <v>6.7499999999999999E-3</v>
      </c>
      <c r="C44" s="148">
        <v>0</v>
      </c>
      <c r="D44" s="148">
        <v>0</v>
      </c>
      <c r="E44" s="148">
        <f>'Scenario 1 Assumptions'!$B$104*('Scenario 1 Assumptions'!$D118)</f>
        <v>6.7499999999999999E-3</v>
      </c>
      <c r="F44" s="148">
        <v>0</v>
      </c>
      <c r="G44" s="148">
        <v>0</v>
      </c>
      <c r="H44" s="148">
        <f>'Scenario 1 Assumptions'!$B$104*('Scenario 1 Assumptions'!$D118)</f>
        <v>6.7499999999999999E-3</v>
      </c>
      <c r="I44" s="148">
        <v>0</v>
      </c>
      <c r="J44" s="148">
        <v>0</v>
      </c>
      <c r="K44" s="148">
        <f>'Scenario 1 Assumptions'!$B$104*('Scenario 1 Assumptions'!$D118)</f>
        <v>6.7499999999999999E-3</v>
      </c>
      <c r="L44" s="148">
        <v>0</v>
      </c>
      <c r="M44" s="148">
        <v>0</v>
      </c>
      <c r="N44" s="148">
        <f>'Scenario 1 Assumptions'!$B$104*('Scenario 1 Assumptions'!$D118)</f>
        <v>6.7499999999999999E-3</v>
      </c>
      <c r="O44" s="148">
        <v>0</v>
      </c>
      <c r="P44" s="148">
        <v>0</v>
      </c>
      <c r="Q44" s="148">
        <f>'Scenario 1 Assumptions'!$B$104*('Scenario 1 Assumptions'!$D118)</f>
        <v>6.7499999999999999E-3</v>
      </c>
      <c r="R44" s="148">
        <v>0</v>
      </c>
      <c r="S44" s="148">
        <v>0</v>
      </c>
      <c r="T44" s="148">
        <f>'Scenario 1 Assumptions'!$B$104*('Scenario 1 Assumptions'!$D118)</f>
        <v>6.7499999999999999E-3</v>
      </c>
      <c r="U44" s="148">
        <v>0</v>
      </c>
      <c r="V44" s="184">
        <f t="shared" si="11"/>
        <v>4.725E-2</v>
      </c>
      <c r="W44" s="161">
        <f t="shared" si="12"/>
        <v>2.3625E-3</v>
      </c>
    </row>
    <row r="45" spans="1:23" ht="13.5" customHeight="1">
      <c r="A45" s="86" t="s">
        <v>1083</v>
      </c>
      <c r="B45" s="148">
        <f>'Scenario 1 Assumptions'!$B$104*('Scenario 1 Assumptions'!$D119)</f>
        <v>6.7499999999999999E-3</v>
      </c>
      <c r="C45" s="148">
        <v>0</v>
      </c>
      <c r="D45" s="148">
        <v>0</v>
      </c>
      <c r="E45" s="148">
        <f>'Scenario 1 Assumptions'!$B$104*('Scenario 1 Assumptions'!$D119)</f>
        <v>6.7499999999999999E-3</v>
      </c>
      <c r="F45" s="148">
        <v>0</v>
      </c>
      <c r="G45" s="148">
        <v>0</v>
      </c>
      <c r="H45" s="148">
        <f>'Scenario 1 Assumptions'!$B$104*('Scenario 1 Assumptions'!$D119)</f>
        <v>6.7499999999999999E-3</v>
      </c>
      <c r="I45" s="148">
        <v>0</v>
      </c>
      <c r="J45" s="148">
        <v>0</v>
      </c>
      <c r="K45" s="148">
        <f>'Scenario 1 Assumptions'!$B$104*('Scenario 1 Assumptions'!$D119)</f>
        <v>6.7499999999999999E-3</v>
      </c>
      <c r="L45" s="148">
        <v>0</v>
      </c>
      <c r="M45" s="148">
        <v>0</v>
      </c>
      <c r="N45" s="148">
        <f>'Scenario 1 Assumptions'!$B$104*('Scenario 1 Assumptions'!$D119)</f>
        <v>6.7499999999999999E-3</v>
      </c>
      <c r="O45" s="148">
        <v>0</v>
      </c>
      <c r="P45" s="148">
        <v>0</v>
      </c>
      <c r="Q45" s="148">
        <f>'Scenario 1 Assumptions'!$B$104*('Scenario 1 Assumptions'!$D119)</f>
        <v>6.7499999999999999E-3</v>
      </c>
      <c r="R45" s="148">
        <v>0</v>
      </c>
      <c r="S45" s="148">
        <v>0</v>
      </c>
      <c r="T45" s="148">
        <f>'Scenario 1 Assumptions'!$B$104*('Scenario 1 Assumptions'!$D119)</f>
        <v>6.7499999999999999E-3</v>
      </c>
      <c r="U45" s="148">
        <v>0</v>
      </c>
      <c r="V45" s="184">
        <f t="shared" si="9"/>
        <v>4.725E-2</v>
      </c>
      <c r="W45" s="161">
        <f t="shared" si="10"/>
        <v>2.3625E-3</v>
      </c>
    </row>
    <row r="46" spans="1:23" ht="13.5" customHeight="1">
      <c r="A46" s="160" t="s">
        <v>995</v>
      </c>
      <c r="B46" s="148">
        <f>'Scenario 1 Assumptions'!$B$104*('Scenario 1 Assumptions'!$D120)</f>
        <v>6.7499999999999999E-3</v>
      </c>
      <c r="C46" s="148">
        <v>0</v>
      </c>
      <c r="D46" s="148">
        <v>0</v>
      </c>
      <c r="E46" s="148">
        <f>'Scenario 1 Assumptions'!$B$104*('Scenario 1 Assumptions'!$D120)</f>
        <v>6.7499999999999999E-3</v>
      </c>
      <c r="F46" s="148">
        <v>0</v>
      </c>
      <c r="G46" s="148">
        <v>0</v>
      </c>
      <c r="H46" s="148">
        <f>'Scenario 1 Assumptions'!$B$104*('Scenario 1 Assumptions'!$D120)</f>
        <v>6.7499999999999999E-3</v>
      </c>
      <c r="I46" s="148">
        <v>0</v>
      </c>
      <c r="J46" s="148">
        <v>0</v>
      </c>
      <c r="K46" s="148">
        <f>'Scenario 1 Assumptions'!$B$104*('Scenario 1 Assumptions'!$D120)</f>
        <v>6.7499999999999999E-3</v>
      </c>
      <c r="L46" s="148">
        <v>0</v>
      </c>
      <c r="M46" s="148">
        <v>0</v>
      </c>
      <c r="N46" s="148">
        <f>'Scenario 1 Assumptions'!$B$104*('Scenario 1 Assumptions'!$D120)</f>
        <v>6.7499999999999999E-3</v>
      </c>
      <c r="O46" s="148">
        <v>0</v>
      </c>
      <c r="P46" s="148">
        <v>0</v>
      </c>
      <c r="Q46" s="148">
        <f>'Scenario 1 Assumptions'!$B$104*('Scenario 1 Assumptions'!$D120)</f>
        <v>6.7499999999999999E-3</v>
      </c>
      <c r="R46" s="148">
        <v>0</v>
      </c>
      <c r="S46" s="148">
        <v>0</v>
      </c>
      <c r="T46" s="148">
        <f>'Scenario 1 Assumptions'!$B$104*('Scenario 1 Assumptions'!$D120)</f>
        <v>6.7499999999999999E-3</v>
      </c>
      <c r="U46" s="148">
        <v>0</v>
      </c>
      <c r="V46" s="184">
        <f t="shared" si="9"/>
        <v>4.725E-2</v>
      </c>
      <c r="W46" s="161">
        <f t="shared" si="10"/>
        <v>2.3625E-3</v>
      </c>
    </row>
    <row r="47" spans="1:23" ht="13.5" customHeight="1">
      <c r="A47" s="160" t="s">
        <v>996</v>
      </c>
      <c r="B47" s="148">
        <f>'Scenario 1 Assumptions'!$B$104*('Scenario 1 Assumptions'!$D121)</f>
        <v>6.7499999999999999E-3</v>
      </c>
      <c r="C47" s="148">
        <v>0</v>
      </c>
      <c r="D47" s="148">
        <v>0</v>
      </c>
      <c r="E47" s="148">
        <f>'Scenario 1 Assumptions'!$B$104*('Scenario 1 Assumptions'!$D121)</f>
        <v>6.7499999999999999E-3</v>
      </c>
      <c r="F47" s="148">
        <v>0</v>
      </c>
      <c r="G47" s="148">
        <v>0</v>
      </c>
      <c r="H47" s="148">
        <f>'Scenario 1 Assumptions'!$B$104*('Scenario 1 Assumptions'!$D121)</f>
        <v>6.7499999999999999E-3</v>
      </c>
      <c r="I47" s="148">
        <v>0</v>
      </c>
      <c r="J47" s="148">
        <v>0</v>
      </c>
      <c r="K47" s="148">
        <f>'Scenario 1 Assumptions'!$B$104*('Scenario 1 Assumptions'!$D121)</f>
        <v>6.7499999999999999E-3</v>
      </c>
      <c r="L47" s="148">
        <v>0</v>
      </c>
      <c r="M47" s="148">
        <v>0</v>
      </c>
      <c r="N47" s="148">
        <f>'Scenario 1 Assumptions'!$B$104*('Scenario 1 Assumptions'!$D121)</f>
        <v>6.7499999999999999E-3</v>
      </c>
      <c r="O47" s="148">
        <v>0</v>
      </c>
      <c r="P47" s="148">
        <v>0</v>
      </c>
      <c r="Q47" s="148">
        <f>'Scenario 1 Assumptions'!$B$104*('Scenario 1 Assumptions'!$D121)</f>
        <v>6.7499999999999999E-3</v>
      </c>
      <c r="R47" s="148">
        <v>0</v>
      </c>
      <c r="S47" s="148">
        <v>0</v>
      </c>
      <c r="T47" s="148">
        <f>'Scenario 1 Assumptions'!$B$104*('Scenario 1 Assumptions'!$D121)</f>
        <v>6.7499999999999999E-3</v>
      </c>
      <c r="U47" s="148">
        <v>0</v>
      </c>
      <c r="V47" s="184">
        <f t="shared" si="9"/>
        <v>4.725E-2</v>
      </c>
      <c r="W47" s="161">
        <f t="shared" si="10"/>
        <v>2.3625E-3</v>
      </c>
    </row>
    <row r="48" spans="1:23" ht="13.5" customHeight="1">
      <c r="A48" s="160" t="s">
        <v>997</v>
      </c>
      <c r="B48" s="148">
        <f>'Scenario 1 Assumptions'!$B$104*('Scenario 1 Assumptions'!$D122)</f>
        <v>6.7499999999999999E-3</v>
      </c>
      <c r="C48" s="148">
        <v>0</v>
      </c>
      <c r="D48" s="148">
        <v>0</v>
      </c>
      <c r="E48" s="148">
        <f>'Scenario 1 Assumptions'!$B$104*('Scenario 1 Assumptions'!$D122)</f>
        <v>6.7499999999999999E-3</v>
      </c>
      <c r="F48" s="148">
        <v>0</v>
      </c>
      <c r="G48" s="148">
        <v>0</v>
      </c>
      <c r="H48" s="148">
        <f>'Scenario 1 Assumptions'!$B$104*('Scenario 1 Assumptions'!$D122)</f>
        <v>6.7499999999999999E-3</v>
      </c>
      <c r="I48" s="148">
        <v>0</v>
      </c>
      <c r="J48" s="148">
        <v>0</v>
      </c>
      <c r="K48" s="148">
        <f>'Scenario 1 Assumptions'!$B$104*('Scenario 1 Assumptions'!$D122)</f>
        <v>6.7499999999999999E-3</v>
      </c>
      <c r="L48" s="148">
        <v>0</v>
      </c>
      <c r="M48" s="148">
        <v>0</v>
      </c>
      <c r="N48" s="148">
        <f>'Scenario 1 Assumptions'!$B$104*('Scenario 1 Assumptions'!$D122)</f>
        <v>6.7499999999999999E-3</v>
      </c>
      <c r="O48" s="148">
        <v>0</v>
      </c>
      <c r="P48" s="148">
        <v>0</v>
      </c>
      <c r="Q48" s="148">
        <f>'Scenario 1 Assumptions'!$B$104*('Scenario 1 Assumptions'!$D122)</f>
        <v>6.7499999999999999E-3</v>
      </c>
      <c r="R48" s="148">
        <v>0</v>
      </c>
      <c r="S48" s="148">
        <v>0</v>
      </c>
      <c r="T48" s="148">
        <f>'Scenario 1 Assumptions'!$B$104*('Scenario 1 Assumptions'!$D122)</f>
        <v>6.7499999999999999E-3</v>
      </c>
      <c r="U48" s="148">
        <v>0</v>
      </c>
      <c r="V48" s="184">
        <f t="shared" si="9"/>
        <v>4.725E-2</v>
      </c>
      <c r="W48" s="161">
        <f t="shared" si="10"/>
        <v>2.3625E-3</v>
      </c>
    </row>
    <row r="49" spans="1:23" ht="13.5" customHeight="1">
      <c r="A49" s="160" t="s">
        <v>999</v>
      </c>
      <c r="B49" s="148">
        <f>'Scenario 1 Assumptions'!$B$104*('Scenario 1 Assumptions'!$D123)</f>
        <v>6.7499999999999999E-3</v>
      </c>
      <c r="C49" s="148">
        <v>0</v>
      </c>
      <c r="D49" s="148">
        <v>0</v>
      </c>
      <c r="E49" s="148">
        <f>'Scenario 1 Assumptions'!$B$104*('Scenario 1 Assumptions'!$D123)</f>
        <v>6.7499999999999999E-3</v>
      </c>
      <c r="F49" s="148">
        <v>0</v>
      </c>
      <c r="G49" s="148">
        <v>0</v>
      </c>
      <c r="H49" s="148">
        <f>'Scenario 1 Assumptions'!$B$104*('Scenario 1 Assumptions'!$D123)</f>
        <v>6.7499999999999999E-3</v>
      </c>
      <c r="I49" s="148">
        <v>0</v>
      </c>
      <c r="J49" s="148">
        <v>0</v>
      </c>
      <c r="K49" s="148">
        <f>'Scenario 1 Assumptions'!$B$104*('Scenario 1 Assumptions'!$D123)</f>
        <v>6.7499999999999999E-3</v>
      </c>
      <c r="L49" s="148">
        <v>0</v>
      </c>
      <c r="M49" s="148">
        <v>0</v>
      </c>
      <c r="N49" s="148">
        <f>'Scenario 1 Assumptions'!$B$104*('Scenario 1 Assumptions'!$D123)</f>
        <v>6.7499999999999999E-3</v>
      </c>
      <c r="O49" s="148">
        <v>0</v>
      </c>
      <c r="P49" s="148">
        <v>0</v>
      </c>
      <c r="Q49" s="148">
        <f>'Scenario 1 Assumptions'!$B$104*('Scenario 1 Assumptions'!$D123)</f>
        <v>6.7499999999999999E-3</v>
      </c>
      <c r="R49" s="148">
        <v>0</v>
      </c>
      <c r="S49" s="148">
        <v>0</v>
      </c>
      <c r="T49" s="148">
        <f>'Scenario 1 Assumptions'!$B$104*('Scenario 1 Assumptions'!$D123)</f>
        <v>6.7499999999999999E-3</v>
      </c>
      <c r="U49" s="148">
        <v>0</v>
      </c>
      <c r="V49" s="184">
        <f t="shared" si="9"/>
        <v>4.725E-2</v>
      </c>
      <c r="W49" s="161">
        <f t="shared" si="10"/>
        <v>2.3625E-3</v>
      </c>
    </row>
    <row r="50" spans="1:23" ht="13.5" customHeight="1">
      <c r="A50" s="160" t="s">
        <v>1000</v>
      </c>
      <c r="B50" s="148">
        <f>'Scenario 1 Assumptions'!$B$104*('Scenario 1 Assumptions'!$D124)</f>
        <v>6.7499999999999999E-3</v>
      </c>
      <c r="C50" s="148">
        <v>0</v>
      </c>
      <c r="D50" s="148">
        <v>0</v>
      </c>
      <c r="E50" s="148">
        <f>'Scenario 1 Assumptions'!$B$104*('Scenario 1 Assumptions'!$D124)</f>
        <v>6.7499999999999999E-3</v>
      </c>
      <c r="F50" s="148">
        <v>0</v>
      </c>
      <c r="G50" s="148">
        <v>0</v>
      </c>
      <c r="H50" s="148">
        <f>'Scenario 1 Assumptions'!$B$104*('Scenario 1 Assumptions'!$D124)</f>
        <v>6.7499999999999999E-3</v>
      </c>
      <c r="I50" s="148">
        <v>0</v>
      </c>
      <c r="J50" s="148">
        <v>0</v>
      </c>
      <c r="K50" s="148">
        <f>'Scenario 1 Assumptions'!$B$104*('Scenario 1 Assumptions'!$D124)</f>
        <v>6.7499999999999999E-3</v>
      </c>
      <c r="L50" s="148">
        <v>0</v>
      </c>
      <c r="M50" s="148">
        <v>0</v>
      </c>
      <c r="N50" s="148">
        <f>'Scenario 1 Assumptions'!$B$104*('Scenario 1 Assumptions'!$D124)</f>
        <v>6.7499999999999999E-3</v>
      </c>
      <c r="O50" s="148">
        <v>0</v>
      </c>
      <c r="P50" s="148">
        <v>0</v>
      </c>
      <c r="Q50" s="148">
        <f>'Scenario 1 Assumptions'!$B$104*('Scenario 1 Assumptions'!$D124)</f>
        <v>6.7499999999999999E-3</v>
      </c>
      <c r="R50" s="148">
        <v>0</v>
      </c>
      <c r="S50" s="148">
        <v>0</v>
      </c>
      <c r="T50" s="148">
        <f>'Scenario 1 Assumptions'!$B$104*('Scenario 1 Assumptions'!$D124)</f>
        <v>6.7499999999999999E-3</v>
      </c>
      <c r="U50" s="148">
        <v>0</v>
      </c>
      <c r="V50" s="184">
        <f t="shared" si="9"/>
        <v>4.725E-2</v>
      </c>
      <c r="W50" s="161">
        <f t="shared" si="10"/>
        <v>2.3625E-3</v>
      </c>
    </row>
    <row r="51" spans="1:23" ht="13.5" customHeight="1">
      <c r="A51" s="160" t="s">
        <v>1001</v>
      </c>
      <c r="B51" s="148">
        <f>'Scenario 1 Assumptions'!$B$104*('Scenario 1 Assumptions'!$D125)</f>
        <v>6.7499999999999999E-3</v>
      </c>
      <c r="C51" s="148">
        <v>0</v>
      </c>
      <c r="D51" s="148">
        <v>0</v>
      </c>
      <c r="E51" s="148">
        <f>'Scenario 1 Assumptions'!$B$104*('Scenario 1 Assumptions'!$D125)</f>
        <v>6.7499999999999999E-3</v>
      </c>
      <c r="F51" s="148">
        <v>0</v>
      </c>
      <c r="G51" s="148">
        <v>0</v>
      </c>
      <c r="H51" s="148">
        <f>'Scenario 1 Assumptions'!$B$104*('Scenario 1 Assumptions'!$D125)</f>
        <v>6.7499999999999999E-3</v>
      </c>
      <c r="I51" s="148">
        <v>0</v>
      </c>
      <c r="J51" s="148">
        <v>0</v>
      </c>
      <c r="K51" s="148">
        <f>'Scenario 1 Assumptions'!$B$104*('Scenario 1 Assumptions'!$D125)</f>
        <v>6.7499999999999999E-3</v>
      </c>
      <c r="L51" s="148">
        <v>0</v>
      </c>
      <c r="M51" s="148">
        <v>0</v>
      </c>
      <c r="N51" s="148">
        <f>'Scenario 1 Assumptions'!$B$104*('Scenario 1 Assumptions'!$D125)</f>
        <v>6.7499999999999999E-3</v>
      </c>
      <c r="O51" s="148">
        <v>0</v>
      </c>
      <c r="P51" s="148">
        <v>0</v>
      </c>
      <c r="Q51" s="148">
        <f>'Scenario 1 Assumptions'!$B$104*('Scenario 1 Assumptions'!$D125)</f>
        <v>6.7499999999999999E-3</v>
      </c>
      <c r="R51" s="148">
        <v>0</v>
      </c>
      <c r="S51" s="148">
        <v>0</v>
      </c>
      <c r="T51" s="148">
        <f>'Scenario 1 Assumptions'!$B$104*('Scenario 1 Assumptions'!$D125)</f>
        <v>6.7499999999999999E-3</v>
      </c>
      <c r="U51" s="148">
        <v>0</v>
      </c>
      <c r="V51" s="184">
        <f t="shared" si="9"/>
        <v>4.725E-2</v>
      </c>
      <c r="W51" s="161">
        <f t="shared" si="10"/>
        <v>2.3625E-3</v>
      </c>
    </row>
    <row r="52" spans="1:23" ht="13.5" customHeight="1">
      <c r="A52" s="160" t="s">
        <v>1002</v>
      </c>
      <c r="B52" s="148">
        <f>'Scenario 1 Assumptions'!$B$104*('Scenario 1 Assumptions'!$D126)</f>
        <v>6.7499999999999999E-3</v>
      </c>
      <c r="C52" s="148">
        <v>0</v>
      </c>
      <c r="D52" s="148">
        <v>0</v>
      </c>
      <c r="E52" s="148">
        <f>'Scenario 1 Assumptions'!$B$104*('Scenario 1 Assumptions'!$D126)</f>
        <v>6.7499999999999999E-3</v>
      </c>
      <c r="F52" s="148">
        <v>0</v>
      </c>
      <c r="G52" s="148">
        <v>0</v>
      </c>
      <c r="H52" s="148">
        <f>'Scenario 1 Assumptions'!$B$104*('Scenario 1 Assumptions'!$D126)</f>
        <v>6.7499999999999999E-3</v>
      </c>
      <c r="I52" s="148">
        <v>0</v>
      </c>
      <c r="J52" s="148">
        <v>0</v>
      </c>
      <c r="K52" s="148">
        <f>'Scenario 1 Assumptions'!$B$104*('Scenario 1 Assumptions'!$D126)</f>
        <v>6.7499999999999999E-3</v>
      </c>
      <c r="L52" s="148">
        <v>0</v>
      </c>
      <c r="M52" s="148">
        <v>0</v>
      </c>
      <c r="N52" s="148">
        <f>'Scenario 1 Assumptions'!$B$104*('Scenario 1 Assumptions'!$D126)</f>
        <v>6.7499999999999999E-3</v>
      </c>
      <c r="O52" s="148">
        <v>0</v>
      </c>
      <c r="P52" s="148">
        <v>0</v>
      </c>
      <c r="Q52" s="148">
        <f>'Scenario 1 Assumptions'!$B$104*('Scenario 1 Assumptions'!$D126)</f>
        <v>6.7499999999999999E-3</v>
      </c>
      <c r="R52" s="148">
        <v>0</v>
      </c>
      <c r="S52" s="148">
        <v>0</v>
      </c>
      <c r="T52" s="148">
        <f>'Scenario 1 Assumptions'!$B$104*('Scenario 1 Assumptions'!$D126)</f>
        <v>6.7499999999999999E-3</v>
      </c>
      <c r="U52" s="148">
        <v>0</v>
      </c>
      <c r="V52" s="184">
        <f t="shared" si="9"/>
        <v>4.725E-2</v>
      </c>
      <c r="W52" s="161">
        <f t="shared" si="10"/>
        <v>2.3625E-3</v>
      </c>
    </row>
    <row r="53" spans="1:23" ht="13.5" customHeight="1">
      <c r="A53" s="160" t="s">
        <v>1003</v>
      </c>
      <c r="B53" s="148">
        <f>'Scenario 1 Assumptions'!$B$104*('Scenario 1 Assumptions'!$D127)</f>
        <v>6.7499999999999999E-3</v>
      </c>
      <c r="C53" s="148">
        <v>0</v>
      </c>
      <c r="D53" s="148">
        <v>0</v>
      </c>
      <c r="E53" s="148">
        <f>'Scenario 1 Assumptions'!$B$104*('Scenario 1 Assumptions'!$D127)</f>
        <v>6.7499999999999999E-3</v>
      </c>
      <c r="F53" s="148">
        <v>0</v>
      </c>
      <c r="G53" s="148">
        <v>0</v>
      </c>
      <c r="H53" s="148">
        <f>'Scenario 1 Assumptions'!$B$104*('Scenario 1 Assumptions'!$D127)</f>
        <v>6.7499999999999999E-3</v>
      </c>
      <c r="I53" s="148">
        <v>0</v>
      </c>
      <c r="J53" s="148">
        <v>0</v>
      </c>
      <c r="K53" s="148">
        <f>'Scenario 1 Assumptions'!$B$104*('Scenario 1 Assumptions'!$D127)</f>
        <v>6.7499999999999999E-3</v>
      </c>
      <c r="L53" s="148">
        <v>0</v>
      </c>
      <c r="M53" s="148">
        <v>0</v>
      </c>
      <c r="N53" s="148">
        <f>'Scenario 1 Assumptions'!$B$104*('Scenario 1 Assumptions'!$D127)</f>
        <v>6.7499999999999999E-3</v>
      </c>
      <c r="O53" s="148">
        <v>0</v>
      </c>
      <c r="P53" s="148">
        <v>0</v>
      </c>
      <c r="Q53" s="148">
        <f>'Scenario 1 Assumptions'!$B$104*('Scenario 1 Assumptions'!$D127)</f>
        <v>6.7499999999999999E-3</v>
      </c>
      <c r="R53" s="148">
        <v>0</v>
      </c>
      <c r="S53" s="148">
        <v>0</v>
      </c>
      <c r="T53" s="148">
        <f>'Scenario 1 Assumptions'!$B$104*('Scenario 1 Assumptions'!$D127)</f>
        <v>6.7499999999999999E-3</v>
      </c>
      <c r="U53" s="148">
        <v>0</v>
      </c>
      <c r="V53" s="184">
        <f t="shared" si="9"/>
        <v>4.725E-2</v>
      </c>
      <c r="W53" s="161">
        <f t="shared" si="10"/>
        <v>2.3625E-3</v>
      </c>
    </row>
    <row r="54" spans="1:23" ht="13.5" customHeight="1">
      <c r="A54" s="160" t="s">
        <v>1004</v>
      </c>
      <c r="B54" s="148">
        <f>'Scenario 1 Assumptions'!$B$104*('Scenario 1 Assumptions'!$D128)</f>
        <v>6.7499999999999999E-3</v>
      </c>
      <c r="C54" s="148">
        <v>0</v>
      </c>
      <c r="D54" s="148">
        <v>0</v>
      </c>
      <c r="E54" s="148">
        <f>'Scenario 1 Assumptions'!$B$104*('Scenario 1 Assumptions'!$D128)</f>
        <v>6.7499999999999999E-3</v>
      </c>
      <c r="F54" s="148">
        <v>0</v>
      </c>
      <c r="G54" s="148">
        <v>0</v>
      </c>
      <c r="H54" s="148">
        <f>'Scenario 1 Assumptions'!$B$104*('Scenario 1 Assumptions'!$D128)</f>
        <v>6.7499999999999999E-3</v>
      </c>
      <c r="I54" s="148">
        <v>0</v>
      </c>
      <c r="J54" s="148">
        <v>0</v>
      </c>
      <c r="K54" s="148">
        <f>'Scenario 1 Assumptions'!$B$104*('Scenario 1 Assumptions'!$D128)</f>
        <v>6.7499999999999999E-3</v>
      </c>
      <c r="L54" s="148">
        <v>0</v>
      </c>
      <c r="M54" s="148">
        <v>0</v>
      </c>
      <c r="N54" s="148">
        <f>'Scenario 1 Assumptions'!$B$104*('Scenario 1 Assumptions'!$D128)</f>
        <v>6.7499999999999999E-3</v>
      </c>
      <c r="O54" s="148">
        <v>0</v>
      </c>
      <c r="P54" s="148">
        <v>0</v>
      </c>
      <c r="Q54" s="148">
        <f>'Scenario 1 Assumptions'!$B$104*('Scenario 1 Assumptions'!$D128)</f>
        <v>6.7499999999999999E-3</v>
      </c>
      <c r="R54" s="148">
        <v>0</v>
      </c>
      <c r="S54" s="148">
        <v>0</v>
      </c>
      <c r="T54" s="148">
        <f>'Scenario 1 Assumptions'!$B$104*('Scenario 1 Assumptions'!$D128)</f>
        <v>6.7499999999999999E-3</v>
      </c>
      <c r="U54" s="148">
        <v>0</v>
      </c>
      <c r="V54" s="184">
        <f t="shared" si="9"/>
        <v>4.725E-2</v>
      </c>
      <c r="W54" s="161">
        <f t="shared" si="10"/>
        <v>2.3625E-3</v>
      </c>
    </row>
    <row r="55" spans="1:23" ht="13.5" customHeight="1">
      <c r="A55" s="160" t="s">
        <v>1006</v>
      </c>
      <c r="B55" s="148">
        <f>'Scenario 1 Assumptions'!$B$104*('Scenario 1 Assumptions'!$D129)</f>
        <v>6.7499999999999999E-3</v>
      </c>
      <c r="C55" s="148">
        <v>0</v>
      </c>
      <c r="D55" s="148">
        <v>0</v>
      </c>
      <c r="E55" s="148">
        <f>'Scenario 1 Assumptions'!$B$104*('Scenario 1 Assumptions'!$D129)</f>
        <v>6.7499999999999999E-3</v>
      </c>
      <c r="F55" s="148">
        <v>0</v>
      </c>
      <c r="G55" s="148">
        <v>0</v>
      </c>
      <c r="H55" s="148">
        <f>'Scenario 1 Assumptions'!$B$104*('Scenario 1 Assumptions'!$D129)</f>
        <v>6.7499999999999999E-3</v>
      </c>
      <c r="I55" s="148">
        <v>0</v>
      </c>
      <c r="J55" s="148">
        <v>0</v>
      </c>
      <c r="K55" s="148">
        <f>'Scenario 1 Assumptions'!$B$104*('Scenario 1 Assumptions'!$D129)</f>
        <v>6.7499999999999999E-3</v>
      </c>
      <c r="L55" s="148">
        <v>0</v>
      </c>
      <c r="M55" s="148">
        <v>0</v>
      </c>
      <c r="N55" s="148">
        <f>'Scenario 1 Assumptions'!$B$104*('Scenario 1 Assumptions'!$D129)</f>
        <v>6.7499999999999999E-3</v>
      </c>
      <c r="O55" s="148">
        <v>0</v>
      </c>
      <c r="P55" s="148">
        <v>0</v>
      </c>
      <c r="Q55" s="148">
        <f>'Scenario 1 Assumptions'!$B$104*('Scenario 1 Assumptions'!$D129)</f>
        <v>6.7499999999999999E-3</v>
      </c>
      <c r="R55" s="148">
        <v>0</v>
      </c>
      <c r="S55" s="148">
        <v>0</v>
      </c>
      <c r="T55" s="148">
        <f>'Scenario 1 Assumptions'!$B$104*('Scenario 1 Assumptions'!$D129)</f>
        <v>6.7499999999999999E-3</v>
      </c>
      <c r="U55" s="148">
        <v>0</v>
      </c>
      <c r="V55" s="184">
        <f t="shared" si="9"/>
        <v>4.725E-2</v>
      </c>
      <c r="W55" s="161">
        <f t="shared" si="10"/>
        <v>2.3625E-3</v>
      </c>
    </row>
    <row r="56" spans="1:23" ht="13.5" customHeight="1">
      <c r="A56" s="160" t="s">
        <v>1008</v>
      </c>
      <c r="B56" s="148">
        <f>'Scenario 1 Assumptions'!$B$104*('Scenario 1 Assumptions'!$D130)</f>
        <v>6.7499999999999999E-3</v>
      </c>
      <c r="C56" s="148">
        <v>0</v>
      </c>
      <c r="D56" s="148">
        <v>0</v>
      </c>
      <c r="E56" s="148">
        <f>'Scenario 1 Assumptions'!$B$104*('Scenario 1 Assumptions'!$D130)</f>
        <v>6.7499999999999999E-3</v>
      </c>
      <c r="F56" s="148">
        <v>0</v>
      </c>
      <c r="G56" s="148">
        <v>0</v>
      </c>
      <c r="H56" s="148">
        <f>'Scenario 1 Assumptions'!$B$104*('Scenario 1 Assumptions'!$D130)</f>
        <v>6.7499999999999999E-3</v>
      </c>
      <c r="I56" s="148">
        <v>0</v>
      </c>
      <c r="J56" s="148">
        <v>0</v>
      </c>
      <c r="K56" s="148">
        <f>'Scenario 1 Assumptions'!$B$104*('Scenario 1 Assumptions'!$D130)</f>
        <v>6.7499999999999999E-3</v>
      </c>
      <c r="L56" s="148">
        <v>0</v>
      </c>
      <c r="M56" s="148">
        <v>0</v>
      </c>
      <c r="N56" s="148">
        <f>'Scenario 1 Assumptions'!$B$104*('Scenario 1 Assumptions'!$D130)</f>
        <v>6.7499999999999999E-3</v>
      </c>
      <c r="O56" s="148">
        <v>0</v>
      </c>
      <c r="P56" s="148">
        <v>0</v>
      </c>
      <c r="Q56" s="148">
        <f>'Scenario 1 Assumptions'!$B$104*('Scenario 1 Assumptions'!$D130)</f>
        <v>6.7499999999999999E-3</v>
      </c>
      <c r="R56" s="148">
        <v>0</v>
      </c>
      <c r="S56" s="148">
        <v>0</v>
      </c>
      <c r="T56" s="148">
        <f>'Scenario 1 Assumptions'!$B$104*('Scenario 1 Assumptions'!$D130)</f>
        <v>6.7499999999999999E-3</v>
      </c>
      <c r="U56" s="148">
        <v>0</v>
      </c>
      <c r="V56" s="184">
        <f t="shared" si="9"/>
        <v>4.725E-2</v>
      </c>
      <c r="W56" s="161">
        <f t="shared" si="10"/>
        <v>2.3625E-3</v>
      </c>
    </row>
    <row r="57" spans="1:23" ht="13.5" customHeight="1">
      <c r="A57" s="160" t="s">
        <v>1009</v>
      </c>
      <c r="B57" s="148">
        <f>'Scenario 1 Assumptions'!$B$104*('Scenario 1 Assumptions'!$D131)</f>
        <v>6.7499999999999999E-3</v>
      </c>
      <c r="C57" s="148">
        <v>0</v>
      </c>
      <c r="D57" s="148">
        <v>0</v>
      </c>
      <c r="E57" s="148">
        <f>'Scenario 1 Assumptions'!$B$104*('Scenario 1 Assumptions'!$D131)</f>
        <v>6.7499999999999999E-3</v>
      </c>
      <c r="F57" s="148">
        <v>0</v>
      </c>
      <c r="G57" s="148">
        <v>0</v>
      </c>
      <c r="H57" s="148">
        <f>'Scenario 1 Assumptions'!$B$104*('Scenario 1 Assumptions'!$D131)</f>
        <v>6.7499999999999999E-3</v>
      </c>
      <c r="I57" s="148">
        <v>0</v>
      </c>
      <c r="J57" s="148">
        <v>0</v>
      </c>
      <c r="K57" s="148">
        <f>'Scenario 1 Assumptions'!$B$104*('Scenario 1 Assumptions'!$D131)</f>
        <v>6.7499999999999999E-3</v>
      </c>
      <c r="L57" s="148">
        <v>0</v>
      </c>
      <c r="M57" s="148">
        <v>0</v>
      </c>
      <c r="N57" s="148">
        <f>'Scenario 1 Assumptions'!$B$104*('Scenario 1 Assumptions'!$D131)</f>
        <v>6.7499999999999999E-3</v>
      </c>
      <c r="O57" s="148">
        <v>0</v>
      </c>
      <c r="P57" s="148">
        <v>0</v>
      </c>
      <c r="Q57" s="148">
        <f>'Scenario 1 Assumptions'!$B$104*('Scenario 1 Assumptions'!$D131)</f>
        <v>6.7499999999999999E-3</v>
      </c>
      <c r="R57" s="148">
        <v>0</v>
      </c>
      <c r="S57" s="148">
        <v>0</v>
      </c>
      <c r="T57" s="148">
        <f>'Scenario 1 Assumptions'!$B$104*('Scenario 1 Assumptions'!$D131)</f>
        <v>6.7499999999999999E-3</v>
      </c>
      <c r="U57" s="148">
        <v>0</v>
      </c>
      <c r="V57" s="184">
        <f t="shared" si="9"/>
        <v>4.725E-2</v>
      </c>
      <c r="W57" s="161">
        <f t="shared" si="10"/>
        <v>2.3625E-3</v>
      </c>
    </row>
    <row r="58" spans="1:23" ht="13.5" customHeight="1">
      <c r="A58" s="160" t="s">
        <v>1035</v>
      </c>
      <c r="B58" s="148">
        <f>'Scenario 1 Assumptions'!$B$104*('Scenario 1 Assumptions'!$D132)</f>
        <v>6.7499999999999999E-3</v>
      </c>
      <c r="C58" s="148">
        <v>0</v>
      </c>
      <c r="D58" s="148">
        <v>0</v>
      </c>
      <c r="E58" s="148">
        <f>'Scenario 1 Assumptions'!$B$104*('Scenario 1 Assumptions'!$D132)</f>
        <v>6.7499999999999999E-3</v>
      </c>
      <c r="F58" s="148">
        <v>0</v>
      </c>
      <c r="G58" s="148">
        <v>0</v>
      </c>
      <c r="H58" s="148">
        <f>'Scenario 1 Assumptions'!$B$104*('Scenario 1 Assumptions'!$D132)</f>
        <v>6.7499999999999999E-3</v>
      </c>
      <c r="I58" s="148">
        <v>0</v>
      </c>
      <c r="J58" s="148">
        <v>0</v>
      </c>
      <c r="K58" s="148">
        <f>'Scenario 1 Assumptions'!$B$104*('Scenario 1 Assumptions'!$D132)</f>
        <v>6.7499999999999999E-3</v>
      </c>
      <c r="L58" s="148">
        <v>0</v>
      </c>
      <c r="M58" s="148">
        <v>0</v>
      </c>
      <c r="N58" s="148">
        <f>'Scenario 1 Assumptions'!$B$104*('Scenario 1 Assumptions'!$D132)</f>
        <v>6.7499999999999999E-3</v>
      </c>
      <c r="O58" s="148">
        <v>0</v>
      </c>
      <c r="P58" s="148">
        <v>0</v>
      </c>
      <c r="Q58" s="148">
        <f>'Scenario 1 Assumptions'!$B$104*('Scenario 1 Assumptions'!$D132)</f>
        <v>6.7499999999999999E-3</v>
      </c>
      <c r="R58" s="148">
        <v>0</v>
      </c>
      <c r="S58" s="148">
        <v>0</v>
      </c>
      <c r="T58" s="148">
        <f>'Scenario 1 Assumptions'!$B$104*('Scenario 1 Assumptions'!$D132)</f>
        <v>6.7499999999999999E-3</v>
      </c>
      <c r="U58" s="148">
        <v>0</v>
      </c>
      <c r="V58" s="184">
        <f t="shared" si="9"/>
        <v>4.725E-2</v>
      </c>
      <c r="W58" s="161">
        <f t="shared" si="10"/>
        <v>2.3625E-3</v>
      </c>
    </row>
    <row r="59" spans="1:23" s="99" customFormat="1" ht="13.5" customHeight="1">
      <c r="A59" s="81"/>
      <c r="B59" s="148"/>
      <c r="C59" s="148"/>
      <c r="D59" s="148"/>
      <c r="E59" s="148"/>
      <c r="F59" s="148"/>
      <c r="G59" s="148"/>
      <c r="H59" s="148"/>
      <c r="I59" s="148"/>
      <c r="J59" s="148"/>
      <c r="K59" s="148"/>
      <c r="L59" s="148"/>
      <c r="M59" s="148"/>
      <c r="N59" s="148"/>
      <c r="O59" s="148"/>
      <c r="P59" s="148"/>
      <c r="Q59" s="148"/>
      <c r="R59" s="148"/>
      <c r="S59" s="148"/>
      <c r="T59" s="148"/>
      <c r="U59" s="148"/>
      <c r="V59" s="180"/>
      <c r="W59" s="133"/>
    </row>
    <row r="60" spans="1:23" s="100" customFormat="1" ht="13.5" customHeight="1">
      <c r="A60" s="152" t="s">
        <v>1062</v>
      </c>
      <c r="V60" s="179"/>
      <c r="W60" s="132"/>
    </row>
    <row r="61" spans="1:23" s="100" customFormat="1" ht="13.5" customHeight="1">
      <c r="A61" s="10" t="s">
        <v>1060</v>
      </c>
      <c r="V61" s="179"/>
      <c r="W61" s="132"/>
    </row>
    <row r="62" spans="1:23" ht="13.5" customHeight="1">
      <c r="A62" s="160" t="s">
        <v>1003</v>
      </c>
      <c r="B62" s="52">
        <f>('Scenario 1 Assumptions'!$D$21+'Scenario 1 Assumptions'!$D$22)*'Scenario 1 Assumptions'!$B$8</f>
        <v>4.725E-3</v>
      </c>
      <c r="C62" s="52">
        <f>('Scenario 1 Assumptions'!$D$21+'Scenario 1 Assumptions'!$D$22)*'Scenario 1 Assumptions'!$B$8</f>
        <v>4.725E-3</v>
      </c>
      <c r="D62" s="52">
        <f>('Scenario 1 Assumptions'!$D$21+'Scenario 1 Assumptions'!$D$22)*'Scenario 1 Assumptions'!$B$8</f>
        <v>4.725E-3</v>
      </c>
      <c r="E62" s="52">
        <f>('Scenario 1 Assumptions'!$D$21+'Scenario 1 Assumptions'!$D$22)*'Scenario 1 Assumptions'!$B$8</f>
        <v>4.725E-3</v>
      </c>
      <c r="F62" s="52">
        <f>('Scenario 1 Assumptions'!$D$21+'Scenario 1 Assumptions'!$D$22)*'Scenario 1 Assumptions'!$B$8</f>
        <v>4.725E-3</v>
      </c>
      <c r="G62" s="52">
        <f>('Scenario 1 Assumptions'!$D$21+'Scenario 1 Assumptions'!$D$22)*'Scenario 1 Assumptions'!$B$8</f>
        <v>4.725E-3</v>
      </c>
      <c r="H62" s="52">
        <f>('Scenario 1 Assumptions'!$D$21+'Scenario 1 Assumptions'!$D$22)*'Scenario 1 Assumptions'!$B$8</f>
        <v>4.725E-3</v>
      </c>
      <c r="I62" s="52">
        <f>('Scenario 1 Assumptions'!$D$21+'Scenario 1 Assumptions'!$D$22)*'Scenario 1 Assumptions'!$B$8</f>
        <v>4.725E-3</v>
      </c>
      <c r="J62" s="52">
        <f>('Scenario 1 Assumptions'!$D$21+'Scenario 1 Assumptions'!$D$22)*'Scenario 1 Assumptions'!$B$8</f>
        <v>4.725E-3</v>
      </c>
      <c r="K62" s="52">
        <f>('Scenario 1 Assumptions'!$D$21+'Scenario 1 Assumptions'!$D$22)*'Scenario 1 Assumptions'!$B$8</f>
        <v>4.725E-3</v>
      </c>
      <c r="L62" s="52">
        <f>('Scenario 1 Assumptions'!$D$21+'Scenario 1 Assumptions'!$D$22)*'Scenario 1 Assumptions'!$B$8</f>
        <v>4.725E-3</v>
      </c>
      <c r="M62" s="52">
        <f>('Scenario 1 Assumptions'!$D$21+'Scenario 1 Assumptions'!$D$22)*'Scenario 1 Assumptions'!$B$8</f>
        <v>4.725E-3</v>
      </c>
      <c r="N62" s="52">
        <f>('Scenario 1 Assumptions'!$D$21+'Scenario 1 Assumptions'!$D$22)*'Scenario 1 Assumptions'!$B$8</f>
        <v>4.725E-3</v>
      </c>
      <c r="O62" s="52">
        <f>('Scenario 1 Assumptions'!$D$21+'Scenario 1 Assumptions'!$D$22)*'Scenario 1 Assumptions'!$B$8</f>
        <v>4.725E-3</v>
      </c>
      <c r="P62" s="52">
        <f>('Scenario 1 Assumptions'!$D$21+'Scenario 1 Assumptions'!$D$22)*'Scenario 1 Assumptions'!$B$8</f>
        <v>4.725E-3</v>
      </c>
      <c r="Q62" s="52">
        <f>('Scenario 1 Assumptions'!$D$21+'Scenario 1 Assumptions'!$D$22)*'Scenario 1 Assumptions'!$B$8</f>
        <v>4.725E-3</v>
      </c>
      <c r="R62" s="52">
        <f>('Scenario 1 Assumptions'!$D$21+'Scenario 1 Assumptions'!$D$22)*'Scenario 1 Assumptions'!$B$8</f>
        <v>4.725E-3</v>
      </c>
      <c r="S62" s="52">
        <f>('Scenario 1 Assumptions'!$D$21+'Scenario 1 Assumptions'!$D$22)*'Scenario 1 Assumptions'!$B$8</f>
        <v>4.725E-3</v>
      </c>
      <c r="T62" s="52">
        <f>('Scenario 1 Assumptions'!$D$21+'Scenario 1 Assumptions'!$D$22)*'Scenario 1 Assumptions'!$B$8</f>
        <v>4.725E-3</v>
      </c>
      <c r="U62" s="52">
        <f>('Scenario 1 Assumptions'!$D$21+'Scenario 1 Assumptions'!$D$22)*'Scenario 1 Assumptions'!$B$8</f>
        <v>4.725E-3</v>
      </c>
      <c r="V62" s="180">
        <f t="shared" ref="V62:V73" si="13">SUM(B62:U62)</f>
        <v>9.4500000000000028E-2</v>
      </c>
      <c r="W62" s="133">
        <f t="shared" ref="W62:W73" si="14">V62/20</f>
        <v>4.7250000000000018E-3</v>
      </c>
    </row>
    <row r="63" spans="1:23" ht="13.5" customHeight="1">
      <c r="A63" s="160" t="s">
        <v>1004</v>
      </c>
      <c r="B63" s="52">
        <f>('Scenario 1 Assumptions'!$D$23+'Scenario 1 Assumptions'!$D$24)*'Scenario 1 Assumptions'!$B$8</f>
        <v>9.4500000000000001E-3</v>
      </c>
      <c r="C63" s="52">
        <f>('Scenario 1 Assumptions'!$D$23+'Scenario 1 Assumptions'!$D$24)*'Scenario 1 Assumptions'!$B$8</f>
        <v>9.4500000000000001E-3</v>
      </c>
      <c r="D63" s="52">
        <f>('Scenario 1 Assumptions'!$D$23+'Scenario 1 Assumptions'!$D$24)*'Scenario 1 Assumptions'!$B$8</f>
        <v>9.4500000000000001E-3</v>
      </c>
      <c r="E63" s="52">
        <f>('Scenario 1 Assumptions'!$D$23+'Scenario 1 Assumptions'!$D$24)*'Scenario 1 Assumptions'!$B$8</f>
        <v>9.4500000000000001E-3</v>
      </c>
      <c r="F63" s="52">
        <f>('Scenario 1 Assumptions'!$D$23+'Scenario 1 Assumptions'!$D$24)*'Scenario 1 Assumptions'!$B$8</f>
        <v>9.4500000000000001E-3</v>
      </c>
      <c r="G63" s="52">
        <f>('Scenario 1 Assumptions'!$D$23+'Scenario 1 Assumptions'!$D$24)*'Scenario 1 Assumptions'!$B$8</f>
        <v>9.4500000000000001E-3</v>
      </c>
      <c r="H63" s="52">
        <f>('Scenario 1 Assumptions'!$D$23+'Scenario 1 Assumptions'!$D$24)*'Scenario 1 Assumptions'!$B$8</f>
        <v>9.4500000000000001E-3</v>
      </c>
      <c r="I63" s="52">
        <f>('Scenario 1 Assumptions'!$D$23+'Scenario 1 Assumptions'!$D$24)*'Scenario 1 Assumptions'!$B$8</f>
        <v>9.4500000000000001E-3</v>
      </c>
      <c r="J63" s="52">
        <f>('Scenario 1 Assumptions'!$D$23+'Scenario 1 Assumptions'!$D$24)*'Scenario 1 Assumptions'!$B$8</f>
        <v>9.4500000000000001E-3</v>
      </c>
      <c r="K63" s="52">
        <f>('Scenario 1 Assumptions'!$D$23+'Scenario 1 Assumptions'!$D$24)*'Scenario 1 Assumptions'!$B$8</f>
        <v>9.4500000000000001E-3</v>
      </c>
      <c r="L63" s="52">
        <f>('Scenario 1 Assumptions'!$D$23+'Scenario 1 Assumptions'!$D$24)*'Scenario 1 Assumptions'!$B$8</f>
        <v>9.4500000000000001E-3</v>
      </c>
      <c r="M63" s="52">
        <f>('Scenario 1 Assumptions'!$D$23+'Scenario 1 Assumptions'!$D$24)*'Scenario 1 Assumptions'!$B$8</f>
        <v>9.4500000000000001E-3</v>
      </c>
      <c r="N63" s="52">
        <f>('Scenario 1 Assumptions'!$D$23+'Scenario 1 Assumptions'!$D$24)*'Scenario 1 Assumptions'!$B$8</f>
        <v>9.4500000000000001E-3</v>
      </c>
      <c r="O63" s="52">
        <f>('Scenario 1 Assumptions'!$D$23+'Scenario 1 Assumptions'!$D$24)*'Scenario 1 Assumptions'!$B$8</f>
        <v>9.4500000000000001E-3</v>
      </c>
      <c r="P63" s="52">
        <f>('Scenario 1 Assumptions'!$D$23+'Scenario 1 Assumptions'!$D$24)*'Scenario 1 Assumptions'!$B$8</f>
        <v>9.4500000000000001E-3</v>
      </c>
      <c r="Q63" s="52">
        <f>('Scenario 1 Assumptions'!$D$23+'Scenario 1 Assumptions'!$D$24)*'Scenario 1 Assumptions'!$B$8</f>
        <v>9.4500000000000001E-3</v>
      </c>
      <c r="R63" s="52">
        <f>('Scenario 1 Assumptions'!$D$23+'Scenario 1 Assumptions'!$D$24)*'Scenario 1 Assumptions'!$B$8</f>
        <v>9.4500000000000001E-3</v>
      </c>
      <c r="S63" s="52">
        <f>('Scenario 1 Assumptions'!$D$23+'Scenario 1 Assumptions'!$D$24)*'Scenario 1 Assumptions'!$B$8</f>
        <v>9.4500000000000001E-3</v>
      </c>
      <c r="T63" s="52">
        <f>('Scenario 1 Assumptions'!$D$23+'Scenario 1 Assumptions'!$D$24)*'Scenario 1 Assumptions'!$B$8</f>
        <v>9.4500000000000001E-3</v>
      </c>
      <c r="U63" s="52">
        <f>('Scenario 1 Assumptions'!$D$23+'Scenario 1 Assumptions'!$D$24)*'Scenario 1 Assumptions'!$B$8</f>
        <v>9.4500000000000001E-3</v>
      </c>
      <c r="V63" s="180">
        <f t="shared" si="13"/>
        <v>0.18900000000000006</v>
      </c>
      <c r="W63" s="133">
        <f t="shared" si="14"/>
        <v>9.4500000000000035E-3</v>
      </c>
    </row>
    <row r="64" spans="1:23" ht="13.5" customHeight="1">
      <c r="A64" s="86" t="s">
        <v>1083</v>
      </c>
      <c r="B64" s="52">
        <f>('Scenario 1 Assumptions'!$D$25+'Scenario 1 Assumptions'!$D$26+'Scenario 1 Assumptions'!$D$27)*'Scenario 1 Assumptions'!$B$8</f>
        <v>3.375E-3</v>
      </c>
      <c r="C64" s="52">
        <f>('Scenario 1 Assumptions'!$D$25+'Scenario 1 Assumptions'!$D$26+'Scenario 1 Assumptions'!$D$27)*'Scenario 1 Assumptions'!$B$8</f>
        <v>3.375E-3</v>
      </c>
      <c r="D64" s="52">
        <f>('Scenario 1 Assumptions'!$D$25+'Scenario 1 Assumptions'!$D$26+'Scenario 1 Assumptions'!$D$27)*'Scenario 1 Assumptions'!$B$8</f>
        <v>3.375E-3</v>
      </c>
      <c r="E64" s="52">
        <f>('Scenario 1 Assumptions'!$D$25+'Scenario 1 Assumptions'!$D$26+'Scenario 1 Assumptions'!$D$27)*'Scenario 1 Assumptions'!$B$8</f>
        <v>3.375E-3</v>
      </c>
      <c r="F64" s="52">
        <f>('Scenario 1 Assumptions'!$D$25+'Scenario 1 Assumptions'!$D$26+'Scenario 1 Assumptions'!$D$27)*'Scenario 1 Assumptions'!$B$8</f>
        <v>3.375E-3</v>
      </c>
      <c r="G64" s="52">
        <f>('Scenario 1 Assumptions'!$D$25+'Scenario 1 Assumptions'!$D$26+'Scenario 1 Assumptions'!$D$27)*'Scenario 1 Assumptions'!$B$8</f>
        <v>3.375E-3</v>
      </c>
      <c r="H64" s="52">
        <f>('Scenario 1 Assumptions'!$D$25+'Scenario 1 Assumptions'!$D$26+'Scenario 1 Assumptions'!$D$27)*'Scenario 1 Assumptions'!$B$8</f>
        <v>3.375E-3</v>
      </c>
      <c r="I64" s="52">
        <f>('Scenario 1 Assumptions'!$D$25+'Scenario 1 Assumptions'!$D$26+'Scenario 1 Assumptions'!$D$27)*'Scenario 1 Assumptions'!$B$8</f>
        <v>3.375E-3</v>
      </c>
      <c r="J64" s="52">
        <f>('Scenario 1 Assumptions'!$D$25+'Scenario 1 Assumptions'!$D$26+'Scenario 1 Assumptions'!$D$27)*'Scenario 1 Assumptions'!$B$8</f>
        <v>3.375E-3</v>
      </c>
      <c r="K64" s="52">
        <f>('Scenario 1 Assumptions'!$D$25+'Scenario 1 Assumptions'!$D$26+'Scenario 1 Assumptions'!$D$27)*'Scenario 1 Assumptions'!$B$8</f>
        <v>3.375E-3</v>
      </c>
      <c r="L64" s="52">
        <f>('Scenario 1 Assumptions'!$D$25+'Scenario 1 Assumptions'!$D$26+'Scenario 1 Assumptions'!$D$27)*'Scenario 1 Assumptions'!$B$8</f>
        <v>3.375E-3</v>
      </c>
      <c r="M64" s="52">
        <f>('Scenario 1 Assumptions'!$D$25+'Scenario 1 Assumptions'!$D$26+'Scenario 1 Assumptions'!$D$27)*'Scenario 1 Assumptions'!$B$8</f>
        <v>3.375E-3</v>
      </c>
      <c r="N64" s="52">
        <f>('Scenario 1 Assumptions'!$D$25+'Scenario 1 Assumptions'!$D$26+'Scenario 1 Assumptions'!$D$27)*'Scenario 1 Assumptions'!$B$8</f>
        <v>3.375E-3</v>
      </c>
      <c r="O64" s="52">
        <f>('Scenario 1 Assumptions'!$D$25+'Scenario 1 Assumptions'!$D$26+'Scenario 1 Assumptions'!$D$27)*'Scenario 1 Assumptions'!$B$8</f>
        <v>3.375E-3</v>
      </c>
      <c r="P64" s="52">
        <f>('Scenario 1 Assumptions'!$D$25+'Scenario 1 Assumptions'!$D$26+'Scenario 1 Assumptions'!$D$27)*'Scenario 1 Assumptions'!$B$8</f>
        <v>3.375E-3</v>
      </c>
      <c r="Q64" s="52">
        <f>('Scenario 1 Assumptions'!$D$25+'Scenario 1 Assumptions'!$D$26+'Scenario 1 Assumptions'!$D$27)*'Scenario 1 Assumptions'!$B$8</f>
        <v>3.375E-3</v>
      </c>
      <c r="R64" s="52">
        <f>('Scenario 1 Assumptions'!$D$25+'Scenario 1 Assumptions'!$D$26+'Scenario 1 Assumptions'!$D$27)*'Scenario 1 Assumptions'!$B$8</f>
        <v>3.375E-3</v>
      </c>
      <c r="S64" s="52">
        <f>('Scenario 1 Assumptions'!$D$25+'Scenario 1 Assumptions'!$D$26+'Scenario 1 Assumptions'!$D$27)*'Scenario 1 Assumptions'!$B$8</f>
        <v>3.375E-3</v>
      </c>
      <c r="T64" s="52">
        <f>('Scenario 1 Assumptions'!$D$25+'Scenario 1 Assumptions'!$D$26+'Scenario 1 Assumptions'!$D$27)*'Scenario 1 Assumptions'!$B$8</f>
        <v>3.375E-3</v>
      </c>
      <c r="U64" s="52">
        <f>('Scenario 1 Assumptions'!$D$25+'Scenario 1 Assumptions'!$D$26+'Scenario 1 Assumptions'!$D$27)*'Scenario 1 Assumptions'!$B$8</f>
        <v>3.375E-3</v>
      </c>
      <c r="V64" s="180">
        <f t="shared" si="13"/>
        <v>6.7500000000000032E-2</v>
      </c>
      <c r="W64" s="133">
        <f t="shared" si="14"/>
        <v>3.3750000000000017E-3</v>
      </c>
    </row>
    <row r="65" spans="1:23" ht="13.5" customHeight="1">
      <c r="A65" s="160" t="s">
        <v>1002</v>
      </c>
      <c r="B65" s="52">
        <f>'Scenario 1 Assumptions'!$D$28*'Scenario 1 Assumptions'!$B$8</f>
        <v>4.725E-3</v>
      </c>
      <c r="C65" s="52">
        <f>'Scenario 1 Assumptions'!$D$28*'Scenario 1 Assumptions'!$B$8</f>
        <v>4.725E-3</v>
      </c>
      <c r="D65" s="52">
        <f>'Scenario 1 Assumptions'!$D$28*'Scenario 1 Assumptions'!$B$8</f>
        <v>4.725E-3</v>
      </c>
      <c r="E65" s="52">
        <f>'Scenario 1 Assumptions'!$D$28*'Scenario 1 Assumptions'!$B$8</f>
        <v>4.725E-3</v>
      </c>
      <c r="F65" s="52">
        <f>'Scenario 1 Assumptions'!$D$28*'Scenario 1 Assumptions'!$B$8</f>
        <v>4.725E-3</v>
      </c>
      <c r="G65" s="52">
        <f>'Scenario 1 Assumptions'!$D$28*'Scenario 1 Assumptions'!$B$8</f>
        <v>4.725E-3</v>
      </c>
      <c r="H65" s="52">
        <f>'Scenario 1 Assumptions'!$D$28*'Scenario 1 Assumptions'!$B$8</f>
        <v>4.725E-3</v>
      </c>
      <c r="I65" s="52">
        <f>'Scenario 1 Assumptions'!$D$28*'Scenario 1 Assumptions'!$B$8</f>
        <v>4.725E-3</v>
      </c>
      <c r="J65" s="52">
        <f>'Scenario 1 Assumptions'!$D$28*'Scenario 1 Assumptions'!$B$8</f>
        <v>4.725E-3</v>
      </c>
      <c r="K65" s="52">
        <f>'Scenario 1 Assumptions'!$D$28*'Scenario 1 Assumptions'!$B$8</f>
        <v>4.725E-3</v>
      </c>
      <c r="L65" s="52">
        <f>'Scenario 1 Assumptions'!$D$28*'Scenario 1 Assumptions'!$B$8</f>
        <v>4.725E-3</v>
      </c>
      <c r="M65" s="52">
        <f>'Scenario 1 Assumptions'!$D$28*'Scenario 1 Assumptions'!$B$8</f>
        <v>4.725E-3</v>
      </c>
      <c r="N65" s="52">
        <f>'Scenario 1 Assumptions'!$D$28*'Scenario 1 Assumptions'!$B$8</f>
        <v>4.725E-3</v>
      </c>
      <c r="O65" s="52">
        <f>'Scenario 1 Assumptions'!$D$28*'Scenario 1 Assumptions'!$B$8</f>
        <v>4.725E-3</v>
      </c>
      <c r="P65" s="52">
        <f>'Scenario 1 Assumptions'!$D$28*'Scenario 1 Assumptions'!$B$8</f>
        <v>4.725E-3</v>
      </c>
      <c r="Q65" s="52">
        <f>'Scenario 1 Assumptions'!$D$28*'Scenario 1 Assumptions'!$B$8</f>
        <v>4.725E-3</v>
      </c>
      <c r="R65" s="52">
        <f>'Scenario 1 Assumptions'!$D$28*'Scenario 1 Assumptions'!$B$8</f>
        <v>4.725E-3</v>
      </c>
      <c r="S65" s="52">
        <f>'Scenario 1 Assumptions'!$D$28*'Scenario 1 Assumptions'!$B$8</f>
        <v>4.725E-3</v>
      </c>
      <c r="T65" s="52">
        <f>'Scenario 1 Assumptions'!$D$28*'Scenario 1 Assumptions'!$B$8</f>
        <v>4.725E-3</v>
      </c>
      <c r="U65" s="52">
        <f>'Scenario 1 Assumptions'!$D$28*'Scenario 1 Assumptions'!$B$8</f>
        <v>4.725E-3</v>
      </c>
      <c r="V65" s="180">
        <f t="shared" si="13"/>
        <v>9.4500000000000028E-2</v>
      </c>
      <c r="W65" s="133">
        <f t="shared" si="14"/>
        <v>4.7250000000000018E-3</v>
      </c>
    </row>
    <row r="66" spans="1:23" ht="13.5" customHeight="1">
      <c r="A66" s="160" t="s">
        <v>997</v>
      </c>
      <c r="B66" s="52">
        <f>'Scenario 1 Assumptions'!$D$29*'Scenario 1 Assumptions'!$B$8</f>
        <v>0</v>
      </c>
      <c r="C66" s="52">
        <f>'Scenario 1 Assumptions'!$D$29*'Scenario 1 Assumptions'!$B$8</f>
        <v>0</v>
      </c>
      <c r="D66" s="52">
        <f>'Scenario 1 Assumptions'!$D$29*'Scenario 1 Assumptions'!$B$8</f>
        <v>0</v>
      </c>
      <c r="E66" s="52">
        <f>'Scenario 1 Assumptions'!$D$29*'Scenario 1 Assumptions'!$B$8</f>
        <v>0</v>
      </c>
      <c r="F66" s="52">
        <f>'Scenario 1 Assumptions'!$D$29*'Scenario 1 Assumptions'!$B$8</f>
        <v>0</v>
      </c>
      <c r="G66" s="52">
        <f>'Scenario 1 Assumptions'!$D$29*'Scenario 1 Assumptions'!$B$8</f>
        <v>0</v>
      </c>
      <c r="H66" s="52">
        <f>'Scenario 1 Assumptions'!$D$29*'Scenario 1 Assumptions'!$B$8</f>
        <v>0</v>
      </c>
      <c r="I66" s="52">
        <f>'Scenario 1 Assumptions'!$D$29*'Scenario 1 Assumptions'!$B$8</f>
        <v>0</v>
      </c>
      <c r="J66" s="52">
        <f>'Scenario 1 Assumptions'!$D$29*'Scenario 1 Assumptions'!$B$8</f>
        <v>0</v>
      </c>
      <c r="K66" s="52">
        <f>'Scenario 1 Assumptions'!$D$29*'Scenario 1 Assumptions'!$B$8</f>
        <v>0</v>
      </c>
      <c r="L66" s="52">
        <f>'Scenario 1 Assumptions'!$D$29*'Scenario 1 Assumptions'!$B$8</f>
        <v>0</v>
      </c>
      <c r="M66" s="52">
        <f>'Scenario 1 Assumptions'!$D$29*'Scenario 1 Assumptions'!$B$8</f>
        <v>0</v>
      </c>
      <c r="N66" s="52">
        <f>'Scenario 1 Assumptions'!$D$29*'Scenario 1 Assumptions'!$B$8</f>
        <v>0</v>
      </c>
      <c r="O66" s="52">
        <f>'Scenario 1 Assumptions'!$D$29*'Scenario 1 Assumptions'!$B$8</f>
        <v>0</v>
      </c>
      <c r="P66" s="52">
        <f>'Scenario 1 Assumptions'!$D$29*'Scenario 1 Assumptions'!$B$8</f>
        <v>0</v>
      </c>
      <c r="Q66" s="52">
        <f>'Scenario 1 Assumptions'!$D$29*'Scenario 1 Assumptions'!$B$8</f>
        <v>0</v>
      </c>
      <c r="R66" s="52">
        <f>'Scenario 1 Assumptions'!$D$29*'Scenario 1 Assumptions'!$B$8</f>
        <v>0</v>
      </c>
      <c r="S66" s="52">
        <f>'Scenario 1 Assumptions'!$D$29*'Scenario 1 Assumptions'!$B$8</f>
        <v>0</v>
      </c>
      <c r="T66" s="52">
        <f>'Scenario 1 Assumptions'!$D$29*'Scenario 1 Assumptions'!$B$8</f>
        <v>0</v>
      </c>
      <c r="U66" s="52">
        <f>'Scenario 1 Assumptions'!$D$29*'Scenario 1 Assumptions'!$B$8</f>
        <v>0</v>
      </c>
      <c r="V66" s="180">
        <f t="shared" si="13"/>
        <v>0</v>
      </c>
      <c r="W66" s="133">
        <f t="shared" si="14"/>
        <v>0</v>
      </c>
    </row>
    <row r="67" spans="1:23" ht="13.5" customHeight="1">
      <c r="A67" s="160" t="s">
        <v>1006</v>
      </c>
      <c r="B67" s="52">
        <f>'Scenario 1 Assumptions'!$D$30*'Scenario 1 Assumptions'!$B$8</f>
        <v>1.3500000000000001E-3</v>
      </c>
      <c r="C67" s="52">
        <f>'Scenario 1 Assumptions'!$D$30*'Scenario 1 Assumptions'!$B$8</f>
        <v>1.3500000000000001E-3</v>
      </c>
      <c r="D67" s="52">
        <f>'Scenario 1 Assumptions'!$D$30*'Scenario 1 Assumptions'!$B$8</f>
        <v>1.3500000000000001E-3</v>
      </c>
      <c r="E67" s="52">
        <f>'Scenario 1 Assumptions'!$D$30*'Scenario 1 Assumptions'!$B$8</f>
        <v>1.3500000000000001E-3</v>
      </c>
      <c r="F67" s="52">
        <f>'Scenario 1 Assumptions'!$D$30*'Scenario 1 Assumptions'!$B$8</f>
        <v>1.3500000000000001E-3</v>
      </c>
      <c r="G67" s="52">
        <f>'Scenario 1 Assumptions'!$D$30*'Scenario 1 Assumptions'!$B$8</f>
        <v>1.3500000000000001E-3</v>
      </c>
      <c r="H67" s="52">
        <f>'Scenario 1 Assumptions'!$D$30*'Scenario 1 Assumptions'!$B$8</f>
        <v>1.3500000000000001E-3</v>
      </c>
      <c r="I67" s="52">
        <f>'Scenario 1 Assumptions'!$D$30*'Scenario 1 Assumptions'!$B$8</f>
        <v>1.3500000000000001E-3</v>
      </c>
      <c r="J67" s="52">
        <f>'Scenario 1 Assumptions'!$D$30*'Scenario 1 Assumptions'!$B$8</f>
        <v>1.3500000000000001E-3</v>
      </c>
      <c r="K67" s="52">
        <f>'Scenario 1 Assumptions'!$D$30*'Scenario 1 Assumptions'!$B$8</f>
        <v>1.3500000000000001E-3</v>
      </c>
      <c r="L67" s="52">
        <f>'Scenario 1 Assumptions'!$D$30*'Scenario 1 Assumptions'!$B$8</f>
        <v>1.3500000000000001E-3</v>
      </c>
      <c r="M67" s="52">
        <f>'Scenario 1 Assumptions'!$D$30*'Scenario 1 Assumptions'!$B$8</f>
        <v>1.3500000000000001E-3</v>
      </c>
      <c r="N67" s="52">
        <f>'Scenario 1 Assumptions'!$D$30*'Scenario 1 Assumptions'!$B$8</f>
        <v>1.3500000000000001E-3</v>
      </c>
      <c r="O67" s="52">
        <f>'Scenario 1 Assumptions'!$D$30*'Scenario 1 Assumptions'!$B$8</f>
        <v>1.3500000000000001E-3</v>
      </c>
      <c r="P67" s="52">
        <f>'Scenario 1 Assumptions'!$D$30*'Scenario 1 Assumptions'!$B$8</f>
        <v>1.3500000000000001E-3</v>
      </c>
      <c r="Q67" s="52">
        <f>'Scenario 1 Assumptions'!$D$30*'Scenario 1 Assumptions'!$B$8</f>
        <v>1.3500000000000001E-3</v>
      </c>
      <c r="R67" s="52">
        <f>'Scenario 1 Assumptions'!$D$30*'Scenario 1 Assumptions'!$B$8</f>
        <v>1.3500000000000001E-3</v>
      </c>
      <c r="S67" s="52">
        <f>'Scenario 1 Assumptions'!$D$30*'Scenario 1 Assumptions'!$B$8</f>
        <v>1.3500000000000001E-3</v>
      </c>
      <c r="T67" s="52">
        <f>'Scenario 1 Assumptions'!$D$30*'Scenario 1 Assumptions'!$B$8</f>
        <v>1.3500000000000001E-3</v>
      </c>
      <c r="U67" s="52">
        <f>'Scenario 1 Assumptions'!$D$30*'Scenario 1 Assumptions'!$B$8</f>
        <v>1.3500000000000001E-3</v>
      </c>
      <c r="V67" s="180">
        <f t="shared" si="13"/>
        <v>2.7000000000000007E-2</v>
      </c>
      <c r="W67" s="133">
        <f t="shared" si="14"/>
        <v>1.3500000000000003E-3</v>
      </c>
    </row>
    <row r="68" spans="1:23" ht="13.5" customHeight="1">
      <c r="A68" s="86" t="s">
        <v>1084</v>
      </c>
      <c r="B68" s="52">
        <f>'Scenario 1 Assumptions'!$D$31*'Scenario 1 Assumptions'!$B$8</f>
        <v>0.11272499999999999</v>
      </c>
      <c r="C68" s="52">
        <f>'Scenario 1 Assumptions'!$D$31*'Scenario 1 Assumptions'!$B$8</f>
        <v>0.11272499999999999</v>
      </c>
      <c r="D68" s="52">
        <f>'Scenario 1 Assumptions'!$D$31*'Scenario 1 Assumptions'!$B$8</f>
        <v>0.11272499999999999</v>
      </c>
      <c r="E68" s="52">
        <f>'Scenario 1 Assumptions'!$D$31*'Scenario 1 Assumptions'!$B$8</f>
        <v>0.11272499999999999</v>
      </c>
      <c r="F68" s="52">
        <f>'Scenario 1 Assumptions'!$D$31*'Scenario 1 Assumptions'!$B$8</f>
        <v>0.11272499999999999</v>
      </c>
      <c r="G68" s="52">
        <f>'Scenario 1 Assumptions'!$D$31*'Scenario 1 Assumptions'!$B$8</f>
        <v>0.11272499999999999</v>
      </c>
      <c r="H68" s="52">
        <f>'Scenario 1 Assumptions'!$D$31*'Scenario 1 Assumptions'!$B$8</f>
        <v>0.11272499999999999</v>
      </c>
      <c r="I68" s="52">
        <f>'Scenario 1 Assumptions'!$D$31*'Scenario 1 Assumptions'!$B$8</f>
        <v>0.11272499999999999</v>
      </c>
      <c r="J68" s="52">
        <f>'Scenario 1 Assumptions'!$D$31*'Scenario 1 Assumptions'!$B$8</f>
        <v>0.11272499999999999</v>
      </c>
      <c r="K68" s="52">
        <f>'Scenario 1 Assumptions'!$D$31*'Scenario 1 Assumptions'!$B$8</f>
        <v>0.11272499999999999</v>
      </c>
      <c r="L68" s="52">
        <f>'Scenario 1 Assumptions'!$D$31*'Scenario 1 Assumptions'!$B$8</f>
        <v>0.11272499999999999</v>
      </c>
      <c r="M68" s="52">
        <f>'Scenario 1 Assumptions'!$D$31*'Scenario 1 Assumptions'!$B$8</f>
        <v>0.11272499999999999</v>
      </c>
      <c r="N68" s="52">
        <f>'Scenario 1 Assumptions'!$D$31*'Scenario 1 Assumptions'!$B$8</f>
        <v>0.11272499999999999</v>
      </c>
      <c r="O68" s="52">
        <f>'Scenario 1 Assumptions'!$D$31*'Scenario 1 Assumptions'!$B$8</f>
        <v>0.11272499999999999</v>
      </c>
      <c r="P68" s="52">
        <f>'Scenario 1 Assumptions'!$D$31*'Scenario 1 Assumptions'!$B$8</f>
        <v>0.11272499999999999</v>
      </c>
      <c r="Q68" s="52">
        <f>'Scenario 1 Assumptions'!$D$31*'Scenario 1 Assumptions'!$B$8</f>
        <v>0.11272499999999999</v>
      </c>
      <c r="R68" s="52">
        <f>'Scenario 1 Assumptions'!$D$31*'Scenario 1 Assumptions'!$B$8</f>
        <v>0.11272499999999999</v>
      </c>
      <c r="S68" s="52">
        <f>'Scenario 1 Assumptions'!$D$31*'Scenario 1 Assumptions'!$B$8</f>
        <v>0.11272499999999999</v>
      </c>
      <c r="T68" s="52">
        <f>'Scenario 1 Assumptions'!$D$31*'Scenario 1 Assumptions'!$B$8</f>
        <v>0.11272499999999999</v>
      </c>
      <c r="U68" s="52">
        <f>'Scenario 1 Assumptions'!$D$31*'Scenario 1 Assumptions'!$B$8</f>
        <v>0.11272499999999999</v>
      </c>
      <c r="V68" s="180">
        <f t="shared" si="13"/>
        <v>2.2545000000000002</v>
      </c>
      <c r="W68" s="133">
        <f t="shared" si="14"/>
        <v>0.11272500000000001</v>
      </c>
    </row>
    <row r="69" spans="1:23" ht="13.5" customHeight="1">
      <c r="A69" s="160" t="s">
        <v>988</v>
      </c>
      <c r="B69" s="52">
        <f>('Scenario 1 Assumptions'!$D$32+'Scenario 1 Assumptions'!$D$33+'Scenario 1 Assumptions'!$D$34+'Scenario 1 Assumptions'!$D$35+'Scenario 1 Assumptions'!$D$36+'Scenario 1 Assumptions'!$D$37+'Scenario 1 Assumptions'!$D$38+'Scenario 1 Assumptions'!$D$39+'Scenario 1 Assumptions'!$D$40+'Scenario 1 Assumptions'!$D$41+'Scenario 1 Assumptions'!$D$42+'Scenario 1 Assumptions'!$D$43+'Scenario 1 Assumptions'!$D$44+'Scenario 1 Assumptions'!$D$45+'Scenario 1 Assumptions'!$D$46+'Scenario 1 Assumptions'!$D$47+'Scenario 1 Assumptions'!$D$48+'Scenario 1 Assumptions'!$D$49+'Scenario 1 Assumptions'!$D$50+'Scenario 1 Assumptions'!$D$51+'Scenario 1 Assumptions'!$D$52+'Scenario 1 Assumptions'!$D$53+'Scenario 1 Assumptions'!$D$54)*'Scenario 1 Assumptions'!$B$8</f>
        <v>2.2950000000000002E-2</v>
      </c>
      <c r="C69" s="52">
        <f>('Scenario 1 Assumptions'!$D$32+'Scenario 1 Assumptions'!$D$33+'Scenario 1 Assumptions'!$D$34+'Scenario 1 Assumptions'!$D$35+'Scenario 1 Assumptions'!$D$36+'Scenario 1 Assumptions'!$D$37+'Scenario 1 Assumptions'!$D$38+'Scenario 1 Assumptions'!$D$39+'Scenario 1 Assumptions'!$D$40+'Scenario 1 Assumptions'!$D$41+'Scenario 1 Assumptions'!$D$42+'Scenario 1 Assumptions'!$D$43+'Scenario 1 Assumptions'!$D$44+'Scenario 1 Assumptions'!$D$45+'Scenario 1 Assumptions'!$D$46+'Scenario 1 Assumptions'!$D$47+'Scenario 1 Assumptions'!$D$48+'Scenario 1 Assumptions'!$D$49+'Scenario 1 Assumptions'!$D$50+'Scenario 1 Assumptions'!$D$51+'Scenario 1 Assumptions'!$D$52+'Scenario 1 Assumptions'!$D$53+'Scenario 1 Assumptions'!$D$54)*'Scenario 1 Assumptions'!$B$8</f>
        <v>2.2950000000000002E-2</v>
      </c>
      <c r="D69" s="52">
        <f>('Scenario 1 Assumptions'!$D$32+'Scenario 1 Assumptions'!$D$33+'Scenario 1 Assumptions'!$D$34+'Scenario 1 Assumptions'!$D$35+'Scenario 1 Assumptions'!$D$36+'Scenario 1 Assumptions'!$D$37+'Scenario 1 Assumptions'!$D$38+'Scenario 1 Assumptions'!$D$39+'Scenario 1 Assumptions'!$D$40+'Scenario 1 Assumptions'!$D$41+'Scenario 1 Assumptions'!$D$42+'Scenario 1 Assumptions'!$D$43+'Scenario 1 Assumptions'!$D$44+'Scenario 1 Assumptions'!$D$45+'Scenario 1 Assumptions'!$D$46+'Scenario 1 Assumptions'!$D$47+'Scenario 1 Assumptions'!$D$48+'Scenario 1 Assumptions'!$D$49+'Scenario 1 Assumptions'!$D$50+'Scenario 1 Assumptions'!$D$51+'Scenario 1 Assumptions'!$D$52+'Scenario 1 Assumptions'!$D$53+'Scenario 1 Assumptions'!$D$54)*'Scenario 1 Assumptions'!$B$8</f>
        <v>2.2950000000000002E-2</v>
      </c>
      <c r="E69" s="52">
        <f>('Scenario 1 Assumptions'!$D$32+'Scenario 1 Assumptions'!$D$33+'Scenario 1 Assumptions'!$D$34+'Scenario 1 Assumptions'!$D$35+'Scenario 1 Assumptions'!$D$36+'Scenario 1 Assumptions'!$D$37+'Scenario 1 Assumptions'!$D$38+'Scenario 1 Assumptions'!$D$39+'Scenario 1 Assumptions'!$D$40+'Scenario 1 Assumptions'!$D$41+'Scenario 1 Assumptions'!$D$42+'Scenario 1 Assumptions'!$D$43+'Scenario 1 Assumptions'!$D$44+'Scenario 1 Assumptions'!$D$45+'Scenario 1 Assumptions'!$D$46+'Scenario 1 Assumptions'!$D$47+'Scenario 1 Assumptions'!$D$48+'Scenario 1 Assumptions'!$D$49+'Scenario 1 Assumptions'!$D$50+'Scenario 1 Assumptions'!$D$51+'Scenario 1 Assumptions'!$D$52+'Scenario 1 Assumptions'!$D$53+'Scenario 1 Assumptions'!$D$54)*'Scenario 1 Assumptions'!$B$8</f>
        <v>2.2950000000000002E-2</v>
      </c>
      <c r="F69" s="52">
        <f>('Scenario 1 Assumptions'!$D$32+'Scenario 1 Assumptions'!$D$33+'Scenario 1 Assumptions'!$D$34+'Scenario 1 Assumptions'!$D$35+'Scenario 1 Assumptions'!$D$36+'Scenario 1 Assumptions'!$D$37+'Scenario 1 Assumptions'!$D$38+'Scenario 1 Assumptions'!$D$39+'Scenario 1 Assumptions'!$D$40+'Scenario 1 Assumptions'!$D$41+'Scenario 1 Assumptions'!$D$42+'Scenario 1 Assumptions'!$D$43+'Scenario 1 Assumptions'!$D$44+'Scenario 1 Assumptions'!$D$45+'Scenario 1 Assumptions'!$D$46+'Scenario 1 Assumptions'!$D$47+'Scenario 1 Assumptions'!$D$48+'Scenario 1 Assumptions'!$D$49+'Scenario 1 Assumptions'!$D$50+'Scenario 1 Assumptions'!$D$51+'Scenario 1 Assumptions'!$D$52+'Scenario 1 Assumptions'!$D$53+'Scenario 1 Assumptions'!$D$54)*'Scenario 1 Assumptions'!$B$8</f>
        <v>2.2950000000000002E-2</v>
      </c>
      <c r="G69" s="52">
        <f>('Scenario 1 Assumptions'!$D$32+'Scenario 1 Assumptions'!$D$33+'Scenario 1 Assumptions'!$D$34+'Scenario 1 Assumptions'!$D$35+'Scenario 1 Assumptions'!$D$36+'Scenario 1 Assumptions'!$D$37+'Scenario 1 Assumptions'!$D$38+'Scenario 1 Assumptions'!$D$39+'Scenario 1 Assumptions'!$D$40+'Scenario 1 Assumptions'!$D$41+'Scenario 1 Assumptions'!$D$42+'Scenario 1 Assumptions'!$D$43+'Scenario 1 Assumptions'!$D$44+'Scenario 1 Assumptions'!$D$45+'Scenario 1 Assumptions'!$D$46+'Scenario 1 Assumptions'!$D$47+'Scenario 1 Assumptions'!$D$48+'Scenario 1 Assumptions'!$D$49+'Scenario 1 Assumptions'!$D$50+'Scenario 1 Assumptions'!$D$51+'Scenario 1 Assumptions'!$D$52+'Scenario 1 Assumptions'!$D$53+'Scenario 1 Assumptions'!$D$54)*'Scenario 1 Assumptions'!$B$8</f>
        <v>2.2950000000000002E-2</v>
      </c>
      <c r="H69" s="52">
        <f>('Scenario 1 Assumptions'!$D$32+'Scenario 1 Assumptions'!$D$33+'Scenario 1 Assumptions'!$D$34+'Scenario 1 Assumptions'!$D$35+'Scenario 1 Assumptions'!$D$36+'Scenario 1 Assumptions'!$D$37+'Scenario 1 Assumptions'!$D$38+'Scenario 1 Assumptions'!$D$39+'Scenario 1 Assumptions'!$D$40+'Scenario 1 Assumptions'!$D$41+'Scenario 1 Assumptions'!$D$42+'Scenario 1 Assumptions'!$D$43+'Scenario 1 Assumptions'!$D$44+'Scenario 1 Assumptions'!$D$45+'Scenario 1 Assumptions'!$D$46+'Scenario 1 Assumptions'!$D$47+'Scenario 1 Assumptions'!$D$48+'Scenario 1 Assumptions'!$D$49+'Scenario 1 Assumptions'!$D$50+'Scenario 1 Assumptions'!$D$51+'Scenario 1 Assumptions'!$D$52+'Scenario 1 Assumptions'!$D$53+'Scenario 1 Assumptions'!$D$54)*'Scenario 1 Assumptions'!$B$8</f>
        <v>2.2950000000000002E-2</v>
      </c>
      <c r="I69" s="52">
        <f>('Scenario 1 Assumptions'!$D$32+'Scenario 1 Assumptions'!$D$33+'Scenario 1 Assumptions'!$D$34+'Scenario 1 Assumptions'!$D$35+'Scenario 1 Assumptions'!$D$36+'Scenario 1 Assumptions'!$D$37+'Scenario 1 Assumptions'!$D$38+'Scenario 1 Assumptions'!$D$39+'Scenario 1 Assumptions'!$D$40+'Scenario 1 Assumptions'!$D$41+'Scenario 1 Assumptions'!$D$42+'Scenario 1 Assumptions'!$D$43+'Scenario 1 Assumptions'!$D$44+'Scenario 1 Assumptions'!$D$45+'Scenario 1 Assumptions'!$D$46+'Scenario 1 Assumptions'!$D$47+'Scenario 1 Assumptions'!$D$48+'Scenario 1 Assumptions'!$D$49+'Scenario 1 Assumptions'!$D$50+'Scenario 1 Assumptions'!$D$51+'Scenario 1 Assumptions'!$D$52+'Scenario 1 Assumptions'!$D$53+'Scenario 1 Assumptions'!$D$54)*'Scenario 1 Assumptions'!$B$8</f>
        <v>2.2950000000000002E-2</v>
      </c>
      <c r="J69" s="52">
        <f>('Scenario 1 Assumptions'!$D$32+'Scenario 1 Assumptions'!$D$33+'Scenario 1 Assumptions'!$D$34+'Scenario 1 Assumptions'!$D$35+'Scenario 1 Assumptions'!$D$36+'Scenario 1 Assumptions'!$D$37+'Scenario 1 Assumptions'!$D$38+'Scenario 1 Assumptions'!$D$39+'Scenario 1 Assumptions'!$D$40+'Scenario 1 Assumptions'!$D$41+'Scenario 1 Assumptions'!$D$42+'Scenario 1 Assumptions'!$D$43+'Scenario 1 Assumptions'!$D$44+'Scenario 1 Assumptions'!$D$45+'Scenario 1 Assumptions'!$D$46+'Scenario 1 Assumptions'!$D$47+'Scenario 1 Assumptions'!$D$48+'Scenario 1 Assumptions'!$D$49+'Scenario 1 Assumptions'!$D$50+'Scenario 1 Assumptions'!$D$51+'Scenario 1 Assumptions'!$D$52+'Scenario 1 Assumptions'!$D$53+'Scenario 1 Assumptions'!$D$54)*'Scenario 1 Assumptions'!$B$8</f>
        <v>2.2950000000000002E-2</v>
      </c>
      <c r="K69" s="52">
        <f>('Scenario 1 Assumptions'!$D$32+'Scenario 1 Assumptions'!$D$33+'Scenario 1 Assumptions'!$D$34+'Scenario 1 Assumptions'!$D$35+'Scenario 1 Assumptions'!$D$36+'Scenario 1 Assumptions'!$D$37+'Scenario 1 Assumptions'!$D$38+'Scenario 1 Assumptions'!$D$39+'Scenario 1 Assumptions'!$D$40+'Scenario 1 Assumptions'!$D$41+'Scenario 1 Assumptions'!$D$42+'Scenario 1 Assumptions'!$D$43+'Scenario 1 Assumptions'!$D$44+'Scenario 1 Assumptions'!$D$45+'Scenario 1 Assumptions'!$D$46+'Scenario 1 Assumptions'!$D$47+'Scenario 1 Assumptions'!$D$48+'Scenario 1 Assumptions'!$D$49+'Scenario 1 Assumptions'!$D$50+'Scenario 1 Assumptions'!$D$51+'Scenario 1 Assumptions'!$D$52+'Scenario 1 Assumptions'!$D$53+'Scenario 1 Assumptions'!$D$54)*'Scenario 1 Assumptions'!$B$8</f>
        <v>2.2950000000000002E-2</v>
      </c>
      <c r="L69" s="52">
        <f>('Scenario 1 Assumptions'!$D$32+'Scenario 1 Assumptions'!$D$33+'Scenario 1 Assumptions'!$D$34+'Scenario 1 Assumptions'!$D$35+'Scenario 1 Assumptions'!$D$36+'Scenario 1 Assumptions'!$D$37+'Scenario 1 Assumptions'!$D$38+'Scenario 1 Assumptions'!$D$39+'Scenario 1 Assumptions'!$D$40+'Scenario 1 Assumptions'!$D$41+'Scenario 1 Assumptions'!$D$42+'Scenario 1 Assumptions'!$D$43+'Scenario 1 Assumptions'!$D$44+'Scenario 1 Assumptions'!$D$45+'Scenario 1 Assumptions'!$D$46+'Scenario 1 Assumptions'!$D$47+'Scenario 1 Assumptions'!$D$48+'Scenario 1 Assumptions'!$D$49+'Scenario 1 Assumptions'!$D$50+'Scenario 1 Assumptions'!$D$51+'Scenario 1 Assumptions'!$D$52+'Scenario 1 Assumptions'!$D$53+'Scenario 1 Assumptions'!$D$54)*'Scenario 1 Assumptions'!$B$8</f>
        <v>2.2950000000000002E-2</v>
      </c>
      <c r="M69" s="52">
        <f>('Scenario 1 Assumptions'!$D$32+'Scenario 1 Assumptions'!$D$33+'Scenario 1 Assumptions'!$D$34+'Scenario 1 Assumptions'!$D$35+'Scenario 1 Assumptions'!$D$36+'Scenario 1 Assumptions'!$D$37+'Scenario 1 Assumptions'!$D$38+'Scenario 1 Assumptions'!$D$39+'Scenario 1 Assumptions'!$D$40+'Scenario 1 Assumptions'!$D$41+'Scenario 1 Assumptions'!$D$42+'Scenario 1 Assumptions'!$D$43+'Scenario 1 Assumptions'!$D$44+'Scenario 1 Assumptions'!$D$45+'Scenario 1 Assumptions'!$D$46+'Scenario 1 Assumptions'!$D$47+'Scenario 1 Assumptions'!$D$48+'Scenario 1 Assumptions'!$D$49+'Scenario 1 Assumptions'!$D$50+'Scenario 1 Assumptions'!$D$51+'Scenario 1 Assumptions'!$D$52+'Scenario 1 Assumptions'!$D$53+'Scenario 1 Assumptions'!$D$54)*'Scenario 1 Assumptions'!$B$8</f>
        <v>2.2950000000000002E-2</v>
      </c>
      <c r="N69" s="52">
        <f>('Scenario 1 Assumptions'!$D$32+'Scenario 1 Assumptions'!$D$33+'Scenario 1 Assumptions'!$D$34+'Scenario 1 Assumptions'!$D$35+'Scenario 1 Assumptions'!$D$36+'Scenario 1 Assumptions'!$D$37+'Scenario 1 Assumptions'!$D$38+'Scenario 1 Assumptions'!$D$39+'Scenario 1 Assumptions'!$D$40+'Scenario 1 Assumptions'!$D$41+'Scenario 1 Assumptions'!$D$42+'Scenario 1 Assumptions'!$D$43+'Scenario 1 Assumptions'!$D$44+'Scenario 1 Assumptions'!$D$45+'Scenario 1 Assumptions'!$D$46+'Scenario 1 Assumptions'!$D$47+'Scenario 1 Assumptions'!$D$48+'Scenario 1 Assumptions'!$D$49+'Scenario 1 Assumptions'!$D$50+'Scenario 1 Assumptions'!$D$51+'Scenario 1 Assumptions'!$D$52+'Scenario 1 Assumptions'!$D$53+'Scenario 1 Assumptions'!$D$54)*'Scenario 1 Assumptions'!$B$8</f>
        <v>2.2950000000000002E-2</v>
      </c>
      <c r="O69" s="52">
        <f>('Scenario 1 Assumptions'!$D$32+'Scenario 1 Assumptions'!$D$33+'Scenario 1 Assumptions'!$D$34+'Scenario 1 Assumptions'!$D$35+'Scenario 1 Assumptions'!$D$36+'Scenario 1 Assumptions'!$D$37+'Scenario 1 Assumptions'!$D$38+'Scenario 1 Assumptions'!$D$39+'Scenario 1 Assumptions'!$D$40+'Scenario 1 Assumptions'!$D$41+'Scenario 1 Assumptions'!$D$42+'Scenario 1 Assumptions'!$D$43+'Scenario 1 Assumptions'!$D$44+'Scenario 1 Assumptions'!$D$45+'Scenario 1 Assumptions'!$D$46+'Scenario 1 Assumptions'!$D$47+'Scenario 1 Assumptions'!$D$48+'Scenario 1 Assumptions'!$D$49+'Scenario 1 Assumptions'!$D$50+'Scenario 1 Assumptions'!$D$51+'Scenario 1 Assumptions'!$D$52+'Scenario 1 Assumptions'!$D$53+'Scenario 1 Assumptions'!$D$54)*'Scenario 1 Assumptions'!$B$8</f>
        <v>2.2950000000000002E-2</v>
      </c>
      <c r="P69" s="52">
        <f>('Scenario 1 Assumptions'!$D$32+'Scenario 1 Assumptions'!$D$33+'Scenario 1 Assumptions'!$D$34+'Scenario 1 Assumptions'!$D$35+'Scenario 1 Assumptions'!$D$36+'Scenario 1 Assumptions'!$D$37+'Scenario 1 Assumptions'!$D$38+'Scenario 1 Assumptions'!$D$39+'Scenario 1 Assumptions'!$D$40+'Scenario 1 Assumptions'!$D$41+'Scenario 1 Assumptions'!$D$42+'Scenario 1 Assumptions'!$D$43+'Scenario 1 Assumptions'!$D$44+'Scenario 1 Assumptions'!$D$45+'Scenario 1 Assumptions'!$D$46+'Scenario 1 Assumptions'!$D$47+'Scenario 1 Assumptions'!$D$48+'Scenario 1 Assumptions'!$D$49+'Scenario 1 Assumptions'!$D$50+'Scenario 1 Assumptions'!$D$51+'Scenario 1 Assumptions'!$D$52+'Scenario 1 Assumptions'!$D$53+'Scenario 1 Assumptions'!$D$54)*'Scenario 1 Assumptions'!$B$8</f>
        <v>2.2950000000000002E-2</v>
      </c>
      <c r="Q69" s="52">
        <f>('Scenario 1 Assumptions'!$D$32+'Scenario 1 Assumptions'!$D$33+'Scenario 1 Assumptions'!$D$34+'Scenario 1 Assumptions'!$D$35+'Scenario 1 Assumptions'!$D$36+'Scenario 1 Assumptions'!$D$37+'Scenario 1 Assumptions'!$D$38+'Scenario 1 Assumptions'!$D$39+'Scenario 1 Assumptions'!$D$40+'Scenario 1 Assumptions'!$D$41+'Scenario 1 Assumptions'!$D$42+'Scenario 1 Assumptions'!$D$43+'Scenario 1 Assumptions'!$D$44+'Scenario 1 Assumptions'!$D$45+'Scenario 1 Assumptions'!$D$46+'Scenario 1 Assumptions'!$D$47+'Scenario 1 Assumptions'!$D$48+'Scenario 1 Assumptions'!$D$49+'Scenario 1 Assumptions'!$D$50+'Scenario 1 Assumptions'!$D$51+'Scenario 1 Assumptions'!$D$52+'Scenario 1 Assumptions'!$D$53+'Scenario 1 Assumptions'!$D$54)*'Scenario 1 Assumptions'!$B$8</f>
        <v>2.2950000000000002E-2</v>
      </c>
      <c r="R69" s="52">
        <f>('Scenario 1 Assumptions'!$D$32+'Scenario 1 Assumptions'!$D$33+'Scenario 1 Assumptions'!$D$34+'Scenario 1 Assumptions'!$D$35+'Scenario 1 Assumptions'!$D$36+'Scenario 1 Assumptions'!$D$37+'Scenario 1 Assumptions'!$D$38+'Scenario 1 Assumptions'!$D$39+'Scenario 1 Assumptions'!$D$40+'Scenario 1 Assumptions'!$D$41+'Scenario 1 Assumptions'!$D$42+'Scenario 1 Assumptions'!$D$43+'Scenario 1 Assumptions'!$D$44+'Scenario 1 Assumptions'!$D$45+'Scenario 1 Assumptions'!$D$46+'Scenario 1 Assumptions'!$D$47+'Scenario 1 Assumptions'!$D$48+'Scenario 1 Assumptions'!$D$49+'Scenario 1 Assumptions'!$D$50+'Scenario 1 Assumptions'!$D$51+'Scenario 1 Assumptions'!$D$52+'Scenario 1 Assumptions'!$D$53+'Scenario 1 Assumptions'!$D$54)*'Scenario 1 Assumptions'!$B$8</f>
        <v>2.2950000000000002E-2</v>
      </c>
      <c r="S69" s="52">
        <f>('Scenario 1 Assumptions'!$D$32+'Scenario 1 Assumptions'!$D$33+'Scenario 1 Assumptions'!$D$34+'Scenario 1 Assumptions'!$D$35+'Scenario 1 Assumptions'!$D$36+'Scenario 1 Assumptions'!$D$37+'Scenario 1 Assumptions'!$D$38+'Scenario 1 Assumptions'!$D$39+'Scenario 1 Assumptions'!$D$40+'Scenario 1 Assumptions'!$D$41+'Scenario 1 Assumptions'!$D$42+'Scenario 1 Assumptions'!$D$43+'Scenario 1 Assumptions'!$D$44+'Scenario 1 Assumptions'!$D$45+'Scenario 1 Assumptions'!$D$46+'Scenario 1 Assumptions'!$D$47+'Scenario 1 Assumptions'!$D$48+'Scenario 1 Assumptions'!$D$49+'Scenario 1 Assumptions'!$D$50+'Scenario 1 Assumptions'!$D$51+'Scenario 1 Assumptions'!$D$52+'Scenario 1 Assumptions'!$D$53+'Scenario 1 Assumptions'!$D$54)*'Scenario 1 Assumptions'!$B$8</f>
        <v>2.2950000000000002E-2</v>
      </c>
      <c r="T69" s="52">
        <f>('Scenario 1 Assumptions'!$D$32+'Scenario 1 Assumptions'!$D$33+'Scenario 1 Assumptions'!$D$34+'Scenario 1 Assumptions'!$D$35+'Scenario 1 Assumptions'!$D$36+'Scenario 1 Assumptions'!$D$37+'Scenario 1 Assumptions'!$D$38+'Scenario 1 Assumptions'!$D$39+'Scenario 1 Assumptions'!$D$40+'Scenario 1 Assumptions'!$D$41+'Scenario 1 Assumptions'!$D$42+'Scenario 1 Assumptions'!$D$43+'Scenario 1 Assumptions'!$D$44+'Scenario 1 Assumptions'!$D$45+'Scenario 1 Assumptions'!$D$46+'Scenario 1 Assumptions'!$D$47+'Scenario 1 Assumptions'!$D$48+'Scenario 1 Assumptions'!$D$49+'Scenario 1 Assumptions'!$D$50+'Scenario 1 Assumptions'!$D$51+'Scenario 1 Assumptions'!$D$52+'Scenario 1 Assumptions'!$D$53+'Scenario 1 Assumptions'!$D$54)*'Scenario 1 Assumptions'!$B$8</f>
        <v>2.2950000000000002E-2</v>
      </c>
      <c r="U69" s="52">
        <f>('Scenario 1 Assumptions'!$D$32+'Scenario 1 Assumptions'!$D$33+'Scenario 1 Assumptions'!$D$34+'Scenario 1 Assumptions'!$D$35+'Scenario 1 Assumptions'!$D$36+'Scenario 1 Assumptions'!$D$37+'Scenario 1 Assumptions'!$D$38+'Scenario 1 Assumptions'!$D$39+'Scenario 1 Assumptions'!$D$40+'Scenario 1 Assumptions'!$D$41+'Scenario 1 Assumptions'!$D$42+'Scenario 1 Assumptions'!$D$43+'Scenario 1 Assumptions'!$D$44+'Scenario 1 Assumptions'!$D$45+'Scenario 1 Assumptions'!$D$46+'Scenario 1 Assumptions'!$D$47+'Scenario 1 Assumptions'!$D$48+'Scenario 1 Assumptions'!$D$49+'Scenario 1 Assumptions'!$D$50+'Scenario 1 Assumptions'!$D$51+'Scenario 1 Assumptions'!$D$52+'Scenario 1 Assumptions'!$D$53+'Scenario 1 Assumptions'!$D$54)*'Scenario 1 Assumptions'!$B$8</f>
        <v>2.2950000000000002E-2</v>
      </c>
      <c r="V69" s="180">
        <f t="shared" si="13"/>
        <v>0.45900000000000024</v>
      </c>
      <c r="W69" s="133">
        <f t="shared" si="14"/>
        <v>2.2950000000000012E-2</v>
      </c>
    </row>
    <row r="70" spans="1:23" ht="13.5" customHeight="1">
      <c r="A70" s="160" t="s">
        <v>1000</v>
      </c>
      <c r="B70" s="52">
        <f>('Scenario 1 Assumptions'!$D$55+'Scenario 1 Assumptions'!$D$56)*'Scenario 1 Assumptions'!$B$8</f>
        <v>1.3500000000000001E-3</v>
      </c>
      <c r="C70" s="52">
        <f>('Scenario 1 Assumptions'!$D$55+'Scenario 1 Assumptions'!$D$56)*'Scenario 1 Assumptions'!$B$8</f>
        <v>1.3500000000000001E-3</v>
      </c>
      <c r="D70" s="52">
        <f>('Scenario 1 Assumptions'!$D$55+'Scenario 1 Assumptions'!$D$56)*'Scenario 1 Assumptions'!$B$8</f>
        <v>1.3500000000000001E-3</v>
      </c>
      <c r="E70" s="52">
        <f>('Scenario 1 Assumptions'!$D$55+'Scenario 1 Assumptions'!$D$56)*'Scenario 1 Assumptions'!$B$8</f>
        <v>1.3500000000000001E-3</v>
      </c>
      <c r="F70" s="52">
        <f>('Scenario 1 Assumptions'!$D$55+'Scenario 1 Assumptions'!$D$56)*'Scenario 1 Assumptions'!$B$8</f>
        <v>1.3500000000000001E-3</v>
      </c>
      <c r="G70" s="52">
        <f>('Scenario 1 Assumptions'!$D$55+'Scenario 1 Assumptions'!$D$56)*'Scenario 1 Assumptions'!$B$8</f>
        <v>1.3500000000000001E-3</v>
      </c>
      <c r="H70" s="52">
        <f>('Scenario 1 Assumptions'!$D$55+'Scenario 1 Assumptions'!$D$56)*'Scenario 1 Assumptions'!$B$8</f>
        <v>1.3500000000000001E-3</v>
      </c>
      <c r="I70" s="52">
        <f>('Scenario 1 Assumptions'!$D$55+'Scenario 1 Assumptions'!$D$56)*'Scenario 1 Assumptions'!$B$8</f>
        <v>1.3500000000000001E-3</v>
      </c>
      <c r="J70" s="52">
        <f>('Scenario 1 Assumptions'!$D$55+'Scenario 1 Assumptions'!$D$56)*'Scenario 1 Assumptions'!$B$8</f>
        <v>1.3500000000000001E-3</v>
      </c>
      <c r="K70" s="52">
        <f>('Scenario 1 Assumptions'!$D$55+'Scenario 1 Assumptions'!$D$56)*'Scenario 1 Assumptions'!$B$8</f>
        <v>1.3500000000000001E-3</v>
      </c>
      <c r="L70" s="52">
        <f>('Scenario 1 Assumptions'!$D$55+'Scenario 1 Assumptions'!$D$56)*'Scenario 1 Assumptions'!$B$8</f>
        <v>1.3500000000000001E-3</v>
      </c>
      <c r="M70" s="52">
        <f>('Scenario 1 Assumptions'!$D$55+'Scenario 1 Assumptions'!$D$56)*'Scenario 1 Assumptions'!$B$8</f>
        <v>1.3500000000000001E-3</v>
      </c>
      <c r="N70" s="52">
        <f>('Scenario 1 Assumptions'!$D$55+'Scenario 1 Assumptions'!$D$56)*'Scenario 1 Assumptions'!$B$8</f>
        <v>1.3500000000000001E-3</v>
      </c>
      <c r="O70" s="52">
        <f>('Scenario 1 Assumptions'!$D$55+'Scenario 1 Assumptions'!$D$56)*'Scenario 1 Assumptions'!$B$8</f>
        <v>1.3500000000000001E-3</v>
      </c>
      <c r="P70" s="52">
        <f>('Scenario 1 Assumptions'!$D$55+'Scenario 1 Assumptions'!$D$56)*'Scenario 1 Assumptions'!$B$8</f>
        <v>1.3500000000000001E-3</v>
      </c>
      <c r="Q70" s="52">
        <f>('Scenario 1 Assumptions'!$D$55+'Scenario 1 Assumptions'!$D$56)*'Scenario 1 Assumptions'!$B$8</f>
        <v>1.3500000000000001E-3</v>
      </c>
      <c r="R70" s="52">
        <f>('Scenario 1 Assumptions'!$D$55+'Scenario 1 Assumptions'!$D$56)*'Scenario 1 Assumptions'!$B$8</f>
        <v>1.3500000000000001E-3</v>
      </c>
      <c r="S70" s="52">
        <f>('Scenario 1 Assumptions'!$D$55+'Scenario 1 Assumptions'!$D$56)*'Scenario 1 Assumptions'!$B$8</f>
        <v>1.3500000000000001E-3</v>
      </c>
      <c r="T70" s="52">
        <f>('Scenario 1 Assumptions'!$D$55+'Scenario 1 Assumptions'!$D$56)*'Scenario 1 Assumptions'!$B$8</f>
        <v>1.3500000000000001E-3</v>
      </c>
      <c r="U70" s="52">
        <f>('Scenario 1 Assumptions'!$D$55+'Scenario 1 Assumptions'!$D$56)*'Scenario 1 Assumptions'!$B$8</f>
        <v>1.3500000000000001E-3</v>
      </c>
      <c r="V70" s="180">
        <f t="shared" si="13"/>
        <v>2.7000000000000007E-2</v>
      </c>
      <c r="W70" s="133">
        <f t="shared" si="14"/>
        <v>1.3500000000000003E-3</v>
      </c>
    </row>
    <row r="71" spans="1:23" ht="13.5" customHeight="1">
      <c r="A71" s="160" t="s">
        <v>990</v>
      </c>
      <c r="B71" s="52">
        <f>'Scenario 1 Assumptions'!$D$57*'Scenario 1 Assumptions'!$B$8</f>
        <v>1.9574999999999999E-2</v>
      </c>
      <c r="C71" s="52">
        <f>'Scenario 1 Assumptions'!$D$57*'Scenario 1 Assumptions'!$B$8</f>
        <v>1.9574999999999999E-2</v>
      </c>
      <c r="D71" s="52">
        <f>'Scenario 1 Assumptions'!$D$57*'Scenario 1 Assumptions'!$B$8</f>
        <v>1.9574999999999999E-2</v>
      </c>
      <c r="E71" s="52">
        <f>'Scenario 1 Assumptions'!$D$57*'Scenario 1 Assumptions'!$B$8</f>
        <v>1.9574999999999999E-2</v>
      </c>
      <c r="F71" s="52">
        <f>'Scenario 1 Assumptions'!$D$57*'Scenario 1 Assumptions'!$B$8</f>
        <v>1.9574999999999999E-2</v>
      </c>
      <c r="G71" s="52">
        <f>'Scenario 1 Assumptions'!$D$57*'Scenario 1 Assumptions'!$B$8</f>
        <v>1.9574999999999999E-2</v>
      </c>
      <c r="H71" s="52">
        <f>'Scenario 1 Assumptions'!$D$57*'Scenario 1 Assumptions'!$B$8</f>
        <v>1.9574999999999999E-2</v>
      </c>
      <c r="I71" s="52">
        <f>'Scenario 1 Assumptions'!$D$57*'Scenario 1 Assumptions'!$B$8</f>
        <v>1.9574999999999999E-2</v>
      </c>
      <c r="J71" s="52">
        <f>'Scenario 1 Assumptions'!$D$57*'Scenario 1 Assumptions'!$B$8</f>
        <v>1.9574999999999999E-2</v>
      </c>
      <c r="K71" s="52">
        <f>'Scenario 1 Assumptions'!$D$57*'Scenario 1 Assumptions'!$B$8</f>
        <v>1.9574999999999999E-2</v>
      </c>
      <c r="L71" s="52">
        <f>'Scenario 1 Assumptions'!$D$57*'Scenario 1 Assumptions'!$B$8</f>
        <v>1.9574999999999999E-2</v>
      </c>
      <c r="M71" s="52">
        <f>'Scenario 1 Assumptions'!$D$57*'Scenario 1 Assumptions'!$B$8</f>
        <v>1.9574999999999999E-2</v>
      </c>
      <c r="N71" s="52">
        <f>'Scenario 1 Assumptions'!$D$57*'Scenario 1 Assumptions'!$B$8</f>
        <v>1.9574999999999999E-2</v>
      </c>
      <c r="O71" s="52">
        <f>'Scenario 1 Assumptions'!$D$57*'Scenario 1 Assumptions'!$B$8</f>
        <v>1.9574999999999999E-2</v>
      </c>
      <c r="P71" s="52">
        <f>'Scenario 1 Assumptions'!$D$57*'Scenario 1 Assumptions'!$B$8</f>
        <v>1.9574999999999999E-2</v>
      </c>
      <c r="Q71" s="52">
        <f>'Scenario 1 Assumptions'!$D$57*'Scenario 1 Assumptions'!$B$8</f>
        <v>1.9574999999999999E-2</v>
      </c>
      <c r="R71" s="52">
        <f>'Scenario 1 Assumptions'!$D$57*'Scenario 1 Assumptions'!$B$8</f>
        <v>1.9574999999999999E-2</v>
      </c>
      <c r="S71" s="52">
        <f>'Scenario 1 Assumptions'!$D$57*'Scenario 1 Assumptions'!$B$8</f>
        <v>1.9574999999999999E-2</v>
      </c>
      <c r="T71" s="52">
        <f>'Scenario 1 Assumptions'!$D$57*'Scenario 1 Assumptions'!$B$8</f>
        <v>1.9574999999999999E-2</v>
      </c>
      <c r="U71" s="52">
        <f>'Scenario 1 Assumptions'!$D$57*'Scenario 1 Assumptions'!$B$8</f>
        <v>1.9574999999999999E-2</v>
      </c>
      <c r="V71" s="180">
        <f t="shared" si="13"/>
        <v>0.39150000000000007</v>
      </c>
      <c r="W71" s="133">
        <f t="shared" si="14"/>
        <v>1.9575000000000002E-2</v>
      </c>
    </row>
    <row r="72" spans="1:23" ht="13.5" customHeight="1">
      <c r="A72" s="10" t="s">
        <v>1061</v>
      </c>
      <c r="B72" s="52"/>
      <c r="C72" s="52"/>
      <c r="D72" s="52"/>
      <c r="E72" s="52"/>
      <c r="F72" s="52"/>
      <c r="G72" s="52"/>
      <c r="H72" s="52"/>
      <c r="I72" s="52"/>
      <c r="J72" s="52"/>
      <c r="K72" s="52"/>
      <c r="L72" s="52"/>
      <c r="M72" s="52"/>
      <c r="N72" s="52"/>
      <c r="O72" s="52"/>
      <c r="P72" s="52"/>
      <c r="Q72" s="52"/>
      <c r="R72" s="52"/>
      <c r="S72" s="52"/>
      <c r="T72" s="52"/>
      <c r="U72" s="52"/>
      <c r="V72" s="180"/>
      <c r="W72" s="133"/>
    </row>
    <row r="73" spans="1:23" ht="13.5" customHeight="1">
      <c r="A73" s="160" t="s">
        <v>1003</v>
      </c>
      <c r="B73" s="52">
        <f>'Scenario 1 Assumptions'!$B$96</f>
        <v>3.8574999999999998E-2</v>
      </c>
      <c r="C73" s="52">
        <f>'Scenario 1 Assumptions'!$B$96</f>
        <v>3.8574999999999998E-2</v>
      </c>
      <c r="D73" s="52">
        <f>'Scenario 1 Assumptions'!$B$96</f>
        <v>3.8574999999999998E-2</v>
      </c>
      <c r="E73" s="52">
        <f>'Scenario 1 Assumptions'!$B$96</f>
        <v>3.8574999999999998E-2</v>
      </c>
      <c r="F73" s="52">
        <f>'Scenario 1 Assumptions'!$B$96</f>
        <v>3.8574999999999998E-2</v>
      </c>
      <c r="G73" s="52">
        <f>'Scenario 1 Assumptions'!$B$96</f>
        <v>3.8574999999999998E-2</v>
      </c>
      <c r="H73" s="52">
        <f>'Scenario 1 Assumptions'!$B$96</f>
        <v>3.8574999999999998E-2</v>
      </c>
      <c r="I73" s="52">
        <f>'Scenario 1 Assumptions'!$B$96</f>
        <v>3.8574999999999998E-2</v>
      </c>
      <c r="J73" s="52">
        <f>'Scenario 1 Assumptions'!$B$96</f>
        <v>3.8574999999999998E-2</v>
      </c>
      <c r="K73" s="52">
        <f>'Scenario 1 Assumptions'!$B$96</f>
        <v>3.8574999999999998E-2</v>
      </c>
      <c r="L73" s="52">
        <f>'Scenario 1 Assumptions'!$B$96</f>
        <v>3.8574999999999998E-2</v>
      </c>
      <c r="M73" s="52">
        <f>'Scenario 1 Assumptions'!$B$96</f>
        <v>3.8574999999999998E-2</v>
      </c>
      <c r="N73" s="52">
        <f>'Scenario 1 Assumptions'!$B$96</f>
        <v>3.8574999999999998E-2</v>
      </c>
      <c r="O73" s="52">
        <f>'Scenario 1 Assumptions'!$B$96</f>
        <v>3.8574999999999998E-2</v>
      </c>
      <c r="P73" s="52">
        <f>'Scenario 1 Assumptions'!$B$96</f>
        <v>3.8574999999999998E-2</v>
      </c>
      <c r="Q73" s="52">
        <f>'Scenario 1 Assumptions'!$B$96</f>
        <v>3.8574999999999998E-2</v>
      </c>
      <c r="R73" s="52">
        <f>'Scenario 1 Assumptions'!$B$96</f>
        <v>3.8574999999999998E-2</v>
      </c>
      <c r="S73" s="52">
        <f>'Scenario 1 Assumptions'!$B$96</f>
        <v>3.8574999999999998E-2</v>
      </c>
      <c r="T73" s="52">
        <f>'Scenario 1 Assumptions'!$B$96</f>
        <v>3.8574999999999998E-2</v>
      </c>
      <c r="U73" s="52">
        <f>'Scenario 1 Assumptions'!$B$96</f>
        <v>3.8574999999999998E-2</v>
      </c>
      <c r="V73" s="180">
        <f t="shared" si="13"/>
        <v>0.7715000000000003</v>
      </c>
      <c r="W73" s="133">
        <f t="shared" si="14"/>
        <v>3.8575000000000012E-2</v>
      </c>
    </row>
    <row r="74" spans="1:23" ht="13.5" customHeight="1">
      <c r="A74" s="160"/>
      <c r="B74" s="52"/>
      <c r="C74" s="52"/>
      <c r="D74" s="52"/>
      <c r="E74" s="52"/>
      <c r="F74" s="52"/>
      <c r="G74" s="52"/>
      <c r="H74" s="52"/>
      <c r="I74" s="52"/>
      <c r="J74" s="52"/>
      <c r="K74" s="52"/>
      <c r="L74" s="52"/>
      <c r="M74" s="52"/>
      <c r="N74" s="52"/>
      <c r="O74" s="52"/>
      <c r="P74" s="52"/>
      <c r="Q74" s="52"/>
      <c r="R74" s="52"/>
      <c r="S74" s="52"/>
      <c r="T74" s="52"/>
      <c r="U74" s="52"/>
      <c r="V74" s="180"/>
      <c r="W74" s="133"/>
    </row>
    <row r="75" spans="1:23" s="99" customFormat="1" ht="13.5" customHeight="1">
      <c r="A75" s="200" t="s">
        <v>679</v>
      </c>
      <c r="B75" s="148">
        <f>SUM(B41:B71)</f>
        <v>0.30172500000000008</v>
      </c>
      <c r="C75" s="148">
        <f t="shared" ref="C75:U75" si="15">SUM(C41:C71)</f>
        <v>0.180225</v>
      </c>
      <c r="D75" s="148">
        <f t="shared" si="15"/>
        <v>0.180225</v>
      </c>
      <c r="E75" s="148">
        <f t="shared" si="15"/>
        <v>0.30172500000000008</v>
      </c>
      <c r="F75" s="148">
        <f t="shared" si="15"/>
        <v>0.180225</v>
      </c>
      <c r="G75" s="148">
        <f t="shared" si="15"/>
        <v>0.180225</v>
      </c>
      <c r="H75" s="148">
        <f t="shared" si="15"/>
        <v>0.30172500000000008</v>
      </c>
      <c r="I75" s="148">
        <f t="shared" si="15"/>
        <v>0.180225</v>
      </c>
      <c r="J75" s="148">
        <f t="shared" si="15"/>
        <v>0.180225</v>
      </c>
      <c r="K75" s="148">
        <f t="shared" si="15"/>
        <v>0.30172500000000008</v>
      </c>
      <c r="L75" s="148">
        <f t="shared" si="15"/>
        <v>0.180225</v>
      </c>
      <c r="M75" s="148">
        <f t="shared" si="15"/>
        <v>0.180225</v>
      </c>
      <c r="N75" s="148">
        <f t="shared" si="15"/>
        <v>0.30172500000000008</v>
      </c>
      <c r="O75" s="148">
        <f t="shared" si="15"/>
        <v>0.180225</v>
      </c>
      <c r="P75" s="148">
        <f t="shared" si="15"/>
        <v>0.180225</v>
      </c>
      <c r="Q75" s="148">
        <f t="shared" si="15"/>
        <v>0.30172500000000008</v>
      </c>
      <c r="R75" s="148">
        <f t="shared" si="15"/>
        <v>0.180225</v>
      </c>
      <c r="S75" s="148">
        <f t="shared" si="15"/>
        <v>0.180225</v>
      </c>
      <c r="T75" s="148">
        <f t="shared" si="15"/>
        <v>0.30172500000000008</v>
      </c>
      <c r="U75" s="148">
        <f t="shared" si="15"/>
        <v>0.180225</v>
      </c>
      <c r="V75" s="180">
        <f t="shared" ref="V75" si="16">SUM(B75:U75)</f>
        <v>4.4550000000000018</v>
      </c>
      <c r="W75" s="133">
        <f>V75/20</f>
        <v>0.22275000000000009</v>
      </c>
    </row>
    <row r="76" spans="1:23" s="99" customFormat="1" ht="13.5" customHeight="1">
      <c r="A76" s="200" t="s">
        <v>680</v>
      </c>
      <c r="B76" s="52">
        <f>SUM(B73)</f>
        <v>3.8574999999999998E-2</v>
      </c>
      <c r="C76" s="52">
        <f t="shared" ref="C76:U76" si="17">SUM(C73)</f>
        <v>3.8574999999999998E-2</v>
      </c>
      <c r="D76" s="52">
        <f t="shared" si="17"/>
        <v>3.8574999999999998E-2</v>
      </c>
      <c r="E76" s="52">
        <f t="shared" si="17"/>
        <v>3.8574999999999998E-2</v>
      </c>
      <c r="F76" s="52">
        <f t="shared" si="17"/>
        <v>3.8574999999999998E-2</v>
      </c>
      <c r="G76" s="52">
        <f t="shared" si="17"/>
        <v>3.8574999999999998E-2</v>
      </c>
      <c r="H76" s="52">
        <f t="shared" si="17"/>
        <v>3.8574999999999998E-2</v>
      </c>
      <c r="I76" s="52">
        <f t="shared" si="17"/>
        <v>3.8574999999999998E-2</v>
      </c>
      <c r="J76" s="52">
        <f t="shared" si="17"/>
        <v>3.8574999999999998E-2</v>
      </c>
      <c r="K76" s="52">
        <f t="shared" si="17"/>
        <v>3.8574999999999998E-2</v>
      </c>
      <c r="L76" s="52">
        <f t="shared" si="17"/>
        <v>3.8574999999999998E-2</v>
      </c>
      <c r="M76" s="52">
        <f t="shared" si="17"/>
        <v>3.8574999999999998E-2</v>
      </c>
      <c r="N76" s="52">
        <f t="shared" si="17"/>
        <v>3.8574999999999998E-2</v>
      </c>
      <c r="O76" s="52">
        <f t="shared" si="17"/>
        <v>3.8574999999999998E-2</v>
      </c>
      <c r="P76" s="52">
        <f t="shared" si="17"/>
        <v>3.8574999999999998E-2</v>
      </c>
      <c r="Q76" s="52">
        <f t="shared" si="17"/>
        <v>3.8574999999999998E-2</v>
      </c>
      <c r="R76" s="52">
        <f t="shared" si="17"/>
        <v>3.8574999999999998E-2</v>
      </c>
      <c r="S76" s="52">
        <f t="shared" si="17"/>
        <v>3.8574999999999998E-2</v>
      </c>
      <c r="T76" s="52">
        <f t="shared" si="17"/>
        <v>3.8574999999999998E-2</v>
      </c>
      <c r="U76" s="52">
        <f t="shared" si="17"/>
        <v>3.8574999999999998E-2</v>
      </c>
      <c r="V76" s="180">
        <f t="shared" ref="V76" si="18">SUM(B76:U76)</f>
        <v>0.7715000000000003</v>
      </c>
      <c r="W76" s="133">
        <f>V76/20</f>
        <v>3.8575000000000012E-2</v>
      </c>
    </row>
    <row r="77" spans="1:23" s="3" customFormat="1" ht="13.5" customHeight="1">
      <c r="A77" s="49" t="s">
        <v>664</v>
      </c>
      <c r="B77" s="34">
        <f t="shared" ref="B77:U77" si="19">B76+B75</f>
        <v>0.34030000000000005</v>
      </c>
      <c r="C77" s="34">
        <f t="shared" si="19"/>
        <v>0.21879999999999999</v>
      </c>
      <c r="D77" s="34">
        <f t="shared" si="19"/>
        <v>0.21879999999999999</v>
      </c>
      <c r="E77" s="34">
        <f t="shared" si="19"/>
        <v>0.34030000000000005</v>
      </c>
      <c r="F77" s="34">
        <f t="shared" si="19"/>
        <v>0.21879999999999999</v>
      </c>
      <c r="G77" s="34">
        <f t="shared" si="19"/>
        <v>0.21879999999999999</v>
      </c>
      <c r="H77" s="34">
        <f t="shared" si="19"/>
        <v>0.34030000000000005</v>
      </c>
      <c r="I77" s="34">
        <f t="shared" si="19"/>
        <v>0.21879999999999999</v>
      </c>
      <c r="J77" s="34">
        <f t="shared" si="19"/>
        <v>0.21879999999999999</v>
      </c>
      <c r="K77" s="34">
        <f t="shared" si="19"/>
        <v>0.34030000000000005</v>
      </c>
      <c r="L77" s="34">
        <f t="shared" si="19"/>
        <v>0.21879999999999999</v>
      </c>
      <c r="M77" s="34">
        <f t="shared" si="19"/>
        <v>0.21879999999999999</v>
      </c>
      <c r="N77" s="34">
        <f t="shared" si="19"/>
        <v>0.34030000000000005</v>
      </c>
      <c r="O77" s="34">
        <f t="shared" si="19"/>
        <v>0.21879999999999999</v>
      </c>
      <c r="P77" s="34">
        <f t="shared" si="19"/>
        <v>0.21879999999999999</v>
      </c>
      <c r="Q77" s="34">
        <f t="shared" si="19"/>
        <v>0.34030000000000005</v>
      </c>
      <c r="R77" s="34">
        <f t="shared" si="19"/>
        <v>0.21879999999999999</v>
      </c>
      <c r="S77" s="34">
        <f t="shared" si="19"/>
        <v>0.21879999999999999</v>
      </c>
      <c r="T77" s="34">
        <f t="shared" si="19"/>
        <v>0.34030000000000005</v>
      </c>
      <c r="U77" s="34">
        <f t="shared" si="19"/>
        <v>0.21879999999999999</v>
      </c>
      <c r="V77" s="182">
        <f>SUM(B77:U77)</f>
        <v>5.2264999999999988</v>
      </c>
      <c r="W77" s="35">
        <f>V77/20</f>
        <v>0.26132499999999992</v>
      </c>
    </row>
    <row r="78" spans="1:23" ht="13.5" customHeight="1">
      <c r="A78" s="134" t="s">
        <v>123</v>
      </c>
      <c r="B78" s="52">
        <v>0.96618357487922713</v>
      </c>
      <c r="C78" s="52">
        <v>0.93351070036640305</v>
      </c>
      <c r="D78" s="52">
        <v>0.90194270566802237</v>
      </c>
      <c r="E78" s="52">
        <v>0.87144222769857238</v>
      </c>
      <c r="F78" s="52">
        <v>0.84197316685852419</v>
      </c>
      <c r="G78" s="52">
        <v>0.81350064430775282</v>
      </c>
      <c r="H78" s="52">
        <v>0.78599096068381913</v>
      </c>
      <c r="I78" s="52">
        <v>0.75941155621625056</v>
      </c>
      <c r="J78" s="52">
        <v>0.73373097218961414</v>
      </c>
      <c r="K78" s="52">
        <v>0.70891881370977217</v>
      </c>
      <c r="L78" s="52">
        <v>0.68494571372924851</v>
      </c>
      <c r="M78" s="52">
        <v>0.66178329828912896</v>
      </c>
      <c r="N78" s="52">
        <v>0.63940415293635666</v>
      </c>
      <c r="O78" s="52">
        <v>0.61778179027667302</v>
      </c>
      <c r="P78" s="52">
        <v>0.59689061862480497</v>
      </c>
      <c r="Q78" s="52">
        <v>0.57670591171478747</v>
      </c>
      <c r="R78" s="52">
        <v>0.55720377943457733</v>
      </c>
      <c r="S78" s="52">
        <v>0.53836113955031628</v>
      </c>
      <c r="T78" s="52">
        <v>0.52015569038677911</v>
      </c>
      <c r="U78" s="52">
        <v>0.50256588443167061</v>
      </c>
      <c r="V78" s="180"/>
      <c r="W78" s="133"/>
    </row>
    <row r="79" spans="1:23" s="13" customFormat="1" ht="13.5" customHeight="1" thickBot="1">
      <c r="A79" s="50" t="s">
        <v>1069</v>
      </c>
      <c r="B79" s="34">
        <f t="shared" ref="B79:U79" si="20">B78*B77</f>
        <v>0.32879227053140103</v>
      </c>
      <c r="C79" s="34">
        <f t="shared" si="20"/>
        <v>0.20425214124016899</v>
      </c>
      <c r="D79" s="34">
        <f t="shared" si="20"/>
        <v>0.1973450640001633</v>
      </c>
      <c r="E79" s="34">
        <f t="shared" si="20"/>
        <v>0.29655179008582422</v>
      </c>
      <c r="F79" s="34">
        <f t="shared" si="20"/>
        <v>0.18422372890864508</v>
      </c>
      <c r="G79" s="34">
        <f t="shared" si="20"/>
        <v>0.1779939409745363</v>
      </c>
      <c r="H79" s="34">
        <f t="shared" si="20"/>
        <v>0.2674727239207037</v>
      </c>
      <c r="I79" s="34">
        <f t="shared" si="20"/>
        <v>0.16615924850011562</v>
      </c>
      <c r="J79" s="34">
        <f t="shared" si="20"/>
        <v>0.16054033671508758</v>
      </c>
      <c r="K79" s="34">
        <f t="shared" si="20"/>
        <v>0.24124507230543552</v>
      </c>
      <c r="L79" s="34">
        <f t="shared" si="20"/>
        <v>0.14986612216395956</v>
      </c>
      <c r="M79" s="34">
        <f t="shared" si="20"/>
        <v>0.14479818566566141</v>
      </c>
      <c r="N79" s="34">
        <f t="shared" si="20"/>
        <v>0.2175892332442422</v>
      </c>
      <c r="O79" s="34">
        <f t="shared" si="20"/>
        <v>0.13517065571253606</v>
      </c>
      <c r="P79" s="34">
        <f t="shared" si="20"/>
        <v>0.13059966735510734</v>
      </c>
      <c r="Q79" s="34">
        <f t="shared" si="20"/>
        <v>0.19625302175654219</v>
      </c>
      <c r="R79" s="34">
        <f t="shared" si="20"/>
        <v>0.12191618694028551</v>
      </c>
      <c r="S79" s="34">
        <f t="shared" si="20"/>
        <v>0.11779341733360919</v>
      </c>
      <c r="T79" s="34">
        <f t="shared" si="20"/>
        <v>0.17700898143862095</v>
      </c>
      <c r="U79" s="34">
        <f t="shared" si="20"/>
        <v>0.10996141551364953</v>
      </c>
      <c r="V79" s="182">
        <f>SUM(B79:U79)</f>
        <v>3.7255332043062959</v>
      </c>
      <c r="W79" s="35"/>
    </row>
    <row r="80" spans="1:23" ht="13.5" customHeight="1">
      <c r="A80" s="128"/>
      <c r="B80" s="128"/>
      <c r="C80" s="128"/>
      <c r="D80" s="128"/>
      <c r="E80" s="128"/>
      <c r="F80" s="128"/>
      <c r="G80" s="128"/>
      <c r="H80" s="128"/>
      <c r="I80" s="128"/>
      <c r="J80" s="128"/>
      <c r="K80" s="128"/>
      <c r="L80" s="128"/>
      <c r="M80" s="128"/>
      <c r="N80" s="128"/>
      <c r="O80" s="128"/>
      <c r="P80" s="128"/>
      <c r="Q80" s="128"/>
      <c r="R80" s="128"/>
      <c r="S80" s="128"/>
      <c r="T80" s="128"/>
      <c r="U80" s="128"/>
      <c r="V80" s="178"/>
      <c r="W80" s="130"/>
    </row>
    <row r="81" spans="1:23" ht="13.5" customHeight="1">
      <c r="A81" s="158" t="s">
        <v>654</v>
      </c>
      <c r="B81" s="81"/>
      <c r="C81" s="81"/>
      <c r="D81" s="81"/>
      <c r="E81" s="81"/>
      <c r="F81" s="81"/>
      <c r="G81" s="81"/>
      <c r="H81" s="81"/>
      <c r="I81" s="81"/>
      <c r="J81" s="81"/>
      <c r="K81" s="81"/>
      <c r="L81" s="81"/>
      <c r="M81" s="81"/>
      <c r="N81" s="81"/>
      <c r="O81" s="81"/>
      <c r="P81" s="81"/>
      <c r="Q81" s="81"/>
      <c r="R81" s="81"/>
      <c r="S81" s="81"/>
      <c r="T81" s="81"/>
      <c r="U81" s="81"/>
      <c r="V81" s="179"/>
      <c r="W81" s="140"/>
    </row>
    <row r="82" spans="1:23" ht="13.5" customHeight="1">
      <c r="A82" s="13"/>
      <c r="B82" s="81"/>
      <c r="C82" s="81"/>
      <c r="D82" s="81"/>
      <c r="E82" s="81"/>
      <c r="F82" s="81"/>
      <c r="G82" s="81"/>
      <c r="H82" s="81"/>
      <c r="I82" s="81"/>
      <c r="J82" s="81"/>
      <c r="K82" s="81"/>
      <c r="L82" s="81"/>
      <c r="M82" s="81"/>
      <c r="N82" s="81"/>
      <c r="O82" s="81"/>
      <c r="P82" s="81"/>
      <c r="Q82" s="81"/>
      <c r="R82" s="81"/>
      <c r="S82" s="81"/>
      <c r="T82" s="81"/>
      <c r="U82" s="81"/>
      <c r="V82" s="179"/>
      <c r="W82" s="140"/>
    </row>
    <row r="83" spans="1:23" ht="13.5" customHeight="1">
      <c r="A83" s="196" t="s">
        <v>1063</v>
      </c>
      <c r="B83" s="81"/>
      <c r="C83" s="81"/>
      <c r="D83" s="81"/>
      <c r="E83" s="81"/>
      <c r="F83" s="81"/>
      <c r="G83" s="81"/>
      <c r="H83" s="81"/>
      <c r="I83" s="81"/>
      <c r="J83" s="81"/>
      <c r="K83" s="81"/>
      <c r="L83" s="81"/>
      <c r="M83" s="81"/>
      <c r="N83" s="81"/>
      <c r="O83" s="81"/>
      <c r="P83" s="81"/>
      <c r="Q83" s="81"/>
      <c r="R83" s="81"/>
      <c r="S83" s="81"/>
      <c r="T83" s="81"/>
      <c r="U83" s="81"/>
      <c r="V83" s="179"/>
      <c r="W83" s="140"/>
    </row>
    <row r="84" spans="1:23" ht="13.5" customHeight="1">
      <c r="A84" s="8" t="s">
        <v>1068</v>
      </c>
      <c r="B84" s="136"/>
      <c r="C84" s="136"/>
      <c r="D84" s="136"/>
      <c r="E84" s="136"/>
      <c r="F84" s="136"/>
      <c r="G84" s="136"/>
      <c r="H84" s="136"/>
      <c r="I84" s="136"/>
      <c r="J84" s="136"/>
      <c r="K84" s="136"/>
      <c r="L84" s="136"/>
      <c r="M84" s="136"/>
      <c r="N84" s="136"/>
      <c r="O84" s="136"/>
      <c r="P84" s="136"/>
      <c r="Q84" s="136"/>
      <c r="R84" s="136"/>
      <c r="S84" s="136"/>
      <c r="T84" s="136"/>
      <c r="U84" s="136"/>
      <c r="V84" s="180"/>
      <c r="W84" s="133"/>
    </row>
    <row r="85" spans="1:23" s="81" customFormat="1" ht="13.5" customHeight="1">
      <c r="A85" s="100" t="s">
        <v>659</v>
      </c>
      <c r="B85" s="136">
        <v>0</v>
      </c>
      <c r="C85" s="136">
        <v>0</v>
      </c>
      <c r="D85" s="136">
        <v>0</v>
      </c>
      <c r="E85" s="136">
        <v>0</v>
      </c>
      <c r="F85" s="136">
        <v>0</v>
      </c>
      <c r="G85" s="136">
        <v>0</v>
      </c>
      <c r="H85" s="136">
        <v>0</v>
      </c>
      <c r="I85" s="136">
        <v>0</v>
      </c>
      <c r="J85" s="136">
        <v>0</v>
      </c>
      <c r="K85" s="136">
        <v>0</v>
      </c>
      <c r="L85" s="136">
        <v>0</v>
      </c>
      <c r="M85" s="136">
        <v>0</v>
      </c>
      <c r="N85" s="136">
        <v>0</v>
      </c>
      <c r="O85" s="136">
        <v>0</v>
      </c>
      <c r="P85" s="136">
        <v>0</v>
      </c>
      <c r="Q85" s="136">
        <v>0</v>
      </c>
      <c r="R85" s="136">
        <v>0</v>
      </c>
      <c r="S85" s="136">
        <v>0</v>
      </c>
      <c r="T85" s="136">
        <v>0</v>
      </c>
      <c r="U85" s="136">
        <v>0</v>
      </c>
      <c r="V85" s="180">
        <f t="shared" ref="V85" si="21">SUM(B85:U85)</f>
        <v>0</v>
      </c>
      <c r="W85" s="133">
        <f t="shared" ref="W85" si="22">V85/20</f>
        <v>0</v>
      </c>
    </row>
    <row r="86" spans="1:23" ht="13.5" customHeight="1">
      <c r="A86" s="10"/>
      <c r="B86" s="52"/>
      <c r="C86" s="52"/>
      <c r="D86" s="52"/>
      <c r="E86" s="52"/>
      <c r="F86" s="52"/>
      <c r="G86" s="52"/>
      <c r="H86" s="52"/>
      <c r="I86" s="52"/>
      <c r="J86" s="52"/>
      <c r="K86" s="52"/>
      <c r="L86" s="52"/>
      <c r="M86" s="52"/>
      <c r="N86" s="52"/>
      <c r="O86" s="52"/>
      <c r="P86" s="52"/>
      <c r="Q86" s="52"/>
      <c r="R86" s="52"/>
      <c r="S86" s="52"/>
      <c r="T86" s="52"/>
      <c r="U86" s="148"/>
      <c r="V86" s="184"/>
      <c r="W86" s="161"/>
    </row>
    <row r="87" spans="1:23" s="100" customFormat="1" ht="13.5" customHeight="1">
      <c r="A87" s="197" t="s">
        <v>1062</v>
      </c>
      <c r="V87" s="179"/>
      <c r="W87" s="132"/>
    </row>
    <row r="88" spans="1:23" s="100" customFormat="1" ht="13.5" customHeight="1">
      <c r="A88" s="10" t="s">
        <v>1060</v>
      </c>
      <c r="V88" s="179"/>
      <c r="W88" s="132"/>
    </row>
    <row r="89" spans="1:23" ht="13.5" customHeight="1">
      <c r="A89" s="100" t="s">
        <v>1087</v>
      </c>
      <c r="B89" s="52">
        <f>'Scenario 1 Assumptions'!$D62*'Scenario 1 Assumptions'!$B$8</f>
        <v>4.0499999999999998E-3</v>
      </c>
      <c r="C89" s="52">
        <f>'Scenario 1 Assumptions'!$D62*'Scenario 1 Assumptions'!$B$8</f>
        <v>4.0499999999999998E-3</v>
      </c>
      <c r="D89" s="52">
        <f>'Scenario 1 Assumptions'!$D62*'Scenario 1 Assumptions'!$B$8</f>
        <v>4.0499999999999998E-3</v>
      </c>
      <c r="E89" s="52">
        <f>'Scenario 1 Assumptions'!$D62*'Scenario 1 Assumptions'!$B$8</f>
        <v>4.0499999999999998E-3</v>
      </c>
      <c r="F89" s="52">
        <f>'Scenario 1 Assumptions'!$D62*'Scenario 1 Assumptions'!$B$8</f>
        <v>4.0499999999999998E-3</v>
      </c>
      <c r="G89" s="52">
        <f>'Scenario 1 Assumptions'!$D62*'Scenario 1 Assumptions'!$B$8</f>
        <v>4.0499999999999998E-3</v>
      </c>
      <c r="H89" s="52">
        <f>'Scenario 1 Assumptions'!$D62*'Scenario 1 Assumptions'!$B$8</f>
        <v>4.0499999999999998E-3</v>
      </c>
      <c r="I89" s="52">
        <f>'Scenario 1 Assumptions'!$D62*'Scenario 1 Assumptions'!$B$8</f>
        <v>4.0499999999999998E-3</v>
      </c>
      <c r="J89" s="52">
        <f>'Scenario 1 Assumptions'!$D62*'Scenario 1 Assumptions'!$B$8</f>
        <v>4.0499999999999998E-3</v>
      </c>
      <c r="K89" s="52">
        <f>'Scenario 1 Assumptions'!$D62*'Scenario 1 Assumptions'!$B$8</f>
        <v>4.0499999999999998E-3</v>
      </c>
      <c r="L89" s="52">
        <f>'Scenario 1 Assumptions'!$D62*'Scenario 1 Assumptions'!$B$8</f>
        <v>4.0499999999999998E-3</v>
      </c>
      <c r="M89" s="52">
        <f>'Scenario 1 Assumptions'!$D62*'Scenario 1 Assumptions'!$B$8</f>
        <v>4.0499999999999998E-3</v>
      </c>
      <c r="N89" s="52">
        <f>'Scenario 1 Assumptions'!$D62*'Scenario 1 Assumptions'!$B$8</f>
        <v>4.0499999999999998E-3</v>
      </c>
      <c r="O89" s="52">
        <f>'Scenario 1 Assumptions'!$D62*'Scenario 1 Assumptions'!$B$8</f>
        <v>4.0499999999999998E-3</v>
      </c>
      <c r="P89" s="52">
        <f>'Scenario 1 Assumptions'!$D62*'Scenario 1 Assumptions'!$B$8</f>
        <v>4.0499999999999998E-3</v>
      </c>
      <c r="Q89" s="52">
        <f>'Scenario 1 Assumptions'!$D62*'Scenario 1 Assumptions'!$B$8</f>
        <v>4.0499999999999998E-3</v>
      </c>
      <c r="R89" s="52">
        <f>'Scenario 1 Assumptions'!$D62*'Scenario 1 Assumptions'!$B$8</f>
        <v>4.0499999999999998E-3</v>
      </c>
      <c r="S89" s="52">
        <f>'Scenario 1 Assumptions'!$D62*'Scenario 1 Assumptions'!$B$8</f>
        <v>4.0499999999999998E-3</v>
      </c>
      <c r="T89" s="52">
        <f>'Scenario 1 Assumptions'!$D62*'Scenario 1 Assumptions'!$B$8</f>
        <v>4.0499999999999998E-3</v>
      </c>
      <c r="U89" s="52">
        <f>'Scenario 1 Assumptions'!$D62*'Scenario 1 Assumptions'!$B$8</f>
        <v>4.0499999999999998E-3</v>
      </c>
      <c r="V89" s="180">
        <f>SUM(B89:U89)</f>
        <v>8.0999999999999975E-2</v>
      </c>
      <c r="W89" s="133">
        <f>V89/20</f>
        <v>4.0499999999999989E-3</v>
      </c>
    </row>
    <row r="90" spans="1:23" ht="13.5" customHeight="1">
      <c r="A90" s="81" t="s">
        <v>1088</v>
      </c>
      <c r="B90" s="52">
        <f>('Scenario 1 Assumptions'!$D$63+'Scenario 1 Assumptions'!$D$64+'Scenario 1 Assumptions'!$D$65+'Scenario 1 Assumptions'!$D$66)*'Scenario 1 Assumptions'!$B$8</f>
        <v>1.4175E-2</v>
      </c>
      <c r="C90" s="52">
        <f>('Scenario 1 Assumptions'!$D$63+'Scenario 1 Assumptions'!$D$64+'Scenario 1 Assumptions'!$D$65+'Scenario 1 Assumptions'!$D$66)*'Scenario 1 Assumptions'!$B$8</f>
        <v>1.4175E-2</v>
      </c>
      <c r="D90" s="52">
        <f>('Scenario 1 Assumptions'!$D$63+'Scenario 1 Assumptions'!$D$64+'Scenario 1 Assumptions'!$D$65+'Scenario 1 Assumptions'!$D$66)*'Scenario 1 Assumptions'!$B$8</f>
        <v>1.4175E-2</v>
      </c>
      <c r="E90" s="52">
        <f>('Scenario 1 Assumptions'!$D$63+'Scenario 1 Assumptions'!$D$64+'Scenario 1 Assumptions'!$D$65+'Scenario 1 Assumptions'!$D$66)*'Scenario 1 Assumptions'!$B$8</f>
        <v>1.4175E-2</v>
      </c>
      <c r="F90" s="52">
        <f>('Scenario 1 Assumptions'!$D$63+'Scenario 1 Assumptions'!$D$64+'Scenario 1 Assumptions'!$D$65+'Scenario 1 Assumptions'!$D$66)*'Scenario 1 Assumptions'!$B$8</f>
        <v>1.4175E-2</v>
      </c>
      <c r="G90" s="52">
        <f>('Scenario 1 Assumptions'!$D$63+'Scenario 1 Assumptions'!$D$64+'Scenario 1 Assumptions'!$D$65+'Scenario 1 Assumptions'!$D$66)*'Scenario 1 Assumptions'!$B$8</f>
        <v>1.4175E-2</v>
      </c>
      <c r="H90" s="52">
        <f>('Scenario 1 Assumptions'!$D$63+'Scenario 1 Assumptions'!$D$64+'Scenario 1 Assumptions'!$D$65+'Scenario 1 Assumptions'!$D$66)*'Scenario 1 Assumptions'!$B$8</f>
        <v>1.4175E-2</v>
      </c>
      <c r="I90" s="52">
        <f>('Scenario 1 Assumptions'!$D$63+'Scenario 1 Assumptions'!$D$64+'Scenario 1 Assumptions'!$D$65+'Scenario 1 Assumptions'!$D$66)*'Scenario 1 Assumptions'!$B$8</f>
        <v>1.4175E-2</v>
      </c>
      <c r="J90" s="52">
        <f>('Scenario 1 Assumptions'!$D$63+'Scenario 1 Assumptions'!$D$64+'Scenario 1 Assumptions'!$D$65+'Scenario 1 Assumptions'!$D$66)*'Scenario 1 Assumptions'!$B$8</f>
        <v>1.4175E-2</v>
      </c>
      <c r="K90" s="52">
        <f>('Scenario 1 Assumptions'!$D$63+'Scenario 1 Assumptions'!$D$64+'Scenario 1 Assumptions'!$D$65+'Scenario 1 Assumptions'!$D$66)*'Scenario 1 Assumptions'!$B$8</f>
        <v>1.4175E-2</v>
      </c>
      <c r="L90" s="52">
        <f>('Scenario 1 Assumptions'!$D$63+'Scenario 1 Assumptions'!$D$64+'Scenario 1 Assumptions'!$D$65+'Scenario 1 Assumptions'!$D$66)*'Scenario 1 Assumptions'!$B$8</f>
        <v>1.4175E-2</v>
      </c>
      <c r="M90" s="52">
        <f>('Scenario 1 Assumptions'!$D$63+'Scenario 1 Assumptions'!$D$64+'Scenario 1 Assumptions'!$D$65+'Scenario 1 Assumptions'!$D$66)*'Scenario 1 Assumptions'!$B$8</f>
        <v>1.4175E-2</v>
      </c>
      <c r="N90" s="52">
        <f>('Scenario 1 Assumptions'!$D$63+'Scenario 1 Assumptions'!$D$64+'Scenario 1 Assumptions'!$D$65+'Scenario 1 Assumptions'!$D$66)*'Scenario 1 Assumptions'!$B$8</f>
        <v>1.4175E-2</v>
      </c>
      <c r="O90" s="52">
        <f>('Scenario 1 Assumptions'!$D$63+'Scenario 1 Assumptions'!$D$64+'Scenario 1 Assumptions'!$D$65+'Scenario 1 Assumptions'!$D$66)*'Scenario 1 Assumptions'!$B$8</f>
        <v>1.4175E-2</v>
      </c>
      <c r="P90" s="52">
        <f>('Scenario 1 Assumptions'!$D$63+'Scenario 1 Assumptions'!$D$64+'Scenario 1 Assumptions'!$D$65+'Scenario 1 Assumptions'!$D$66)*'Scenario 1 Assumptions'!$B$8</f>
        <v>1.4175E-2</v>
      </c>
      <c r="Q90" s="52">
        <f>('Scenario 1 Assumptions'!$D$63+'Scenario 1 Assumptions'!$D$64+'Scenario 1 Assumptions'!$D$65+'Scenario 1 Assumptions'!$D$66)*'Scenario 1 Assumptions'!$B$8</f>
        <v>1.4175E-2</v>
      </c>
      <c r="R90" s="52">
        <f>('Scenario 1 Assumptions'!$D$63+'Scenario 1 Assumptions'!$D$64+'Scenario 1 Assumptions'!$D$65+'Scenario 1 Assumptions'!$D$66)*'Scenario 1 Assumptions'!$B$8</f>
        <v>1.4175E-2</v>
      </c>
      <c r="S90" s="52">
        <f>('Scenario 1 Assumptions'!$D$63+'Scenario 1 Assumptions'!$D$64+'Scenario 1 Assumptions'!$D$65+'Scenario 1 Assumptions'!$D$66)*'Scenario 1 Assumptions'!$B$8</f>
        <v>1.4175E-2</v>
      </c>
      <c r="T90" s="52">
        <f>('Scenario 1 Assumptions'!$D$63+'Scenario 1 Assumptions'!$D$64+'Scenario 1 Assumptions'!$D$65+'Scenario 1 Assumptions'!$D$66)*'Scenario 1 Assumptions'!$B$8</f>
        <v>1.4175E-2</v>
      </c>
      <c r="U90" s="52">
        <f>('Scenario 1 Assumptions'!$D$63+'Scenario 1 Assumptions'!$D$64+'Scenario 1 Assumptions'!$D$65+'Scenario 1 Assumptions'!$D$66)*'Scenario 1 Assumptions'!$B$8</f>
        <v>1.4175E-2</v>
      </c>
      <c r="V90" s="180">
        <f>SUM(B90:U90)</f>
        <v>0.28349999999999992</v>
      </c>
      <c r="W90" s="133">
        <f>V90/20</f>
        <v>1.4174999999999997E-2</v>
      </c>
    </row>
    <row r="91" spans="1:23" ht="13.5" customHeight="1">
      <c r="A91" s="81" t="s">
        <v>1089</v>
      </c>
      <c r="B91" s="52">
        <f>'Scenario 1 Assumptions'!$D$67*'Scenario 1 Assumptions'!$B$8</f>
        <v>4.0499999999999998E-3</v>
      </c>
      <c r="C91" s="52">
        <f>'Scenario 1 Assumptions'!$D$67*'Scenario 1 Assumptions'!$B$8</f>
        <v>4.0499999999999998E-3</v>
      </c>
      <c r="D91" s="52">
        <f>'Scenario 1 Assumptions'!$D$67*'Scenario 1 Assumptions'!$B$8</f>
        <v>4.0499999999999998E-3</v>
      </c>
      <c r="E91" s="52">
        <f>'Scenario 1 Assumptions'!$D$67*'Scenario 1 Assumptions'!$B$8</f>
        <v>4.0499999999999998E-3</v>
      </c>
      <c r="F91" s="52">
        <f>'Scenario 1 Assumptions'!$D$67*'Scenario 1 Assumptions'!$B$8</f>
        <v>4.0499999999999998E-3</v>
      </c>
      <c r="G91" s="52">
        <f>'Scenario 1 Assumptions'!$D$67*'Scenario 1 Assumptions'!$B$8</f>
        <v>4.0499999999999998E-3</v>
      </c>
      <c r="H91" s="52">
        <f>'Scenario 1 Assumptions'!$D$67*'Scenario 1 Assumptions'!$B$8</f>
        <v>4.0499999999999998E-3</v>
      </c>
      <c r="I91" s="52">
        <f>'Scenario 1 Assumptions'!$D$67*'Scenario 1 Assumptions'!$B$8</f>
        <v>4.0499999999999998E-3</v>
      </c>
      <c r="J91" s="52">
        <f>'Scenario 1 Assumptions'!$D$67*'Scenario 1 Assumptions'!$B$8</f>
        <v>4.0499999999999998E-3</v>
      </c>
      <c r="K91" s="52">
        <f>'Scenario 1 Assumptions'!$D$67*'Scenario 1 Assumptions'!$B$8</f>
        <v>4.0499999999999998E-3</v>
      </c>
      <c r="L91" s="52">
        <f>'Scenario 1 Assumptions'!$D$67*'Scenario 1 Assumptions'!$B$8</f>
        <v>4.0499999999999998E-3</v>
      </c>
      <c r="M91" s="52">
        <f>'Scenario 1 Assumptions'!$D$67*'Scenario 1 Assumptions'!$B$8</f>
        <v>4.0499999999999998E-3</v>
      </c>
      <c r="N91" s="52">
        <f>'Scenario 1 Assumptions'!$D$67*'Scenario 1 Assumptions'!$B$8</f>
        <v>4.0499999999999998E-3</v>
      </c>
      <c r="O91" s="52">
        <f>'Scenario 1 Assumptions'!$D$67*'Scenario 1 Assumptions'!$B$8</f>
        <v>4.0499999999999998E-3</v>
      </c>
      <c r="P91" s="52">
        <f>'Scenario 1 Assumptions'!$D$67*'Scenario 1 Assumptions'!$B$8</f>
        <v>4.0499999999999998E-3</v>
      </c>
      <c r="Q91" s="52">
        <f>'Scenario 1 Assumptions'!$D$67*'Scenario 1 Assumptions'!$B$8</f>
        <v>4.0499999999999998E-3</v>
      </c>
      <c r="R91" s="52">
        <f>'Scenario 1 Assumptions'!$D$67*'Scenario 1 Assumptions'!$B$8</f>
        <v>4.0499999999999998E-3</v>
      </c>
      <c r="S91" s="52">
        <f>'Scenario 1 Assumptions'!$D$67*'Scenario 1 Assumptions'!$B$8</f>
        <v>4.0499999999999998E-3</v>
      </c>
      <c r="T91" s="52">
        <f>'Scenario 1 Assumptions'!$D$67*'Scenario 1 Assumptions'!$B$8</f>
        <v>4.0499999999999998E-3</v>
      </c>
      <c r="U91" s="52">
        <f>'Scenario 1 Assumptions'!$D$67*'Scenario 1 Assumptions'!$B$8</f>
        <v>4.0499999999999998E-3</v>
      </c>
      <c r="V91" s="180">
        <f>SUM(B91:U91)</f>
        <v>8.0999999999999975E-2</v>
      </c>
      <c r="W91" s="133">
        <f>V91/20</f>
        <v>4.0499999999999989E-3</v>
      </c>
    </row>
    <row r="92" spans="1:23" ht="13.5" customHeight="1">
      <c r="A92" s="81"/>
      <c r="B92" s="52"/>
      <c r="C92" s="52"/>
      <c r="D92" s="52"/>
      <c r="E92" s="52"/>
      <c r="F92" s="52"/>
      <c r="G92" s="52"/>
      <c r="H92" s="52"/>
      <c r="I92" s="52"/>
      <c r="J92" s="52"/>
      <c r="K92" s="52"/>
      <c r="L92" s="52"/>
      <c r="M92" s="52"/>
      <c r="N92" s="52"/>
      <c r="O92" s="52"/>
      <c r="P92" s="52"/>
      <c r="Q92" s="52"/>
      <c r="R92" s="52"/>
      <c r="S92" s="52"/>
      <c r="T92" s="52"/>
      <c r="U92" s="52"/>
      <c r="V92" s="180"/>
      <c r="W92" s="133"/>
    </row>
    <row r="93" spans="1:23" s="99" customFormat="1" ht="13.5" customHeight="1">
      <c r="A93" s="200" t="s">
        <v>679</v>
      </c>
      <c r="B93" s="148">
        <f>SUM(B85:B91)</f>
        <v>2.2274999999999996E-2</v>
      </c>
      <c r="C93" s="148">
        <f t="shared" ref="C93:U93" si="23">SUM(C85:C91)</f>
        <v>2.2274999999999996E-2</v>
      </c>
      <c r="D93" s="148">
        <f t="shared" si="23"/>
        <v>2.2274999999999996E-2</v>
      </c>
      <c r="E93" s="148">
        <f t="shared" si="23"/>
        <v>2.2274999999999996E-2</v>
      </c>
      <c r="F93" s="148">
        <f t="shared" si="23"/>
        <v>2.2274999999999996E-2</v>
      </c>
      <c r="G93" s="148">
        <f t="shared" si="23"/>
        <v>2.2274999999999996E-2</v>
      </c>
      <c r="H93" s="148">
        <f t="shared" si="23"/>
        <v>2.2274999999999996E-2</v>
      </c>
      <c r="I93" s="148">
        <f t="shared" si="23"/>
        <v>2.2274999999999996E-2</v>
      </c>
      <c r="J93" s="148">
        <f t="shared" si="23"/>
        <v>2.2274999999999996E-2</v>
      </c>
      <c r="K93" s="148">
        <f t="shared" si="23"/>
        <v>2.2274999999999996E-2</v>
      </c>
      <c r="L93" s="148">
        <f t="shared" si="23"/>
        <v>2.2274999999999996E-2</v>
      </c>
      <c r="M93" s="148">
        <f t="shared" si="23"/>
        <v>2.2274999999999996E-2</v>
      </c>
      <c r="N93" s="148">
        <f t="shared" si="23"/>
        <v>2.2274999999999996E-2</v>
      </c>
      <c r="O93" s="148">
        <f t="shared" si="23"/>
        <v>2.2274999999999996E-2</v>
      </c>
      <c r="P93" s="148">
        <f t="shared" si="23"/>
        <v>2.2274999999999996E-2</v>
      </c>
      <c r="Q93" s="148">
        <f t="shared" si="23"/>
        <v>2.2274999999999996E-2</v>
      </c>
      <c r="R93" s="148">
        <f t="shared" si="23"/>
        <v>2.2274999999999996E-2</v>
      </c>
      <c r="S93" s="148">
        <f t="shared" si="23"/>
        <v>2.2274999999999996E-2</v>
      </c>
      <c r="T93" s="148">
        <f t="shared" si="23"/>
        <v>2.2274999999999996E-2</v>
      </c>
      <c r="U93" s="148">
        <f t="shared" si="23"/>
        <v>2.2274999999999996E-2</v>
      </c>
      <c r="V93" s="180">
        <f t="shared" ref="V93" si="24">SUM(B93:U93)</f>
        <v>0.44549999999999984</v>
      </c>
      <c r="W93" s="133">
        <f t="shared" ref="W93" si="25">V93/20</f>
        <v>2.2274999999999993E-2</v>
      </c>
    </row>
    <row r="94" spans="1:23" s="99" customFormat="1" ht="13.5" customHeight="1">
      <c r="A94" s="200" t="s">
        <v>680</v>
      </c>
      <c r="B94" s="52">
        <f>0</f>
        <v>0</v>
      </c>
      <c r="C94" s="52">
        <f>0</f>
        <v>0</v>
      </c>
      <c r="D94" s="52">
        <f>0</f>
        <v>0</v>
      </c>
      <c r="E94" s="52">
        <f>0</f>
        <v>0</v>
      </c>
      <c r="F94" s="52">
        <f>0</f>
        <v>0</v>
      </c>
      <c r="G94" s="52">
        <f>0</f>
        <v>0</v>
      </c>
      <c r="H94" s="52">
        <f>0</f>
        <v>0</v>
      </c>
      <c r="I94" s="52">
        <f>0</f>
        <v>0</v>
      </c>
      <c r="J94" s="52">
        <f>0</f>
        <v>0</v>
      </c>
      <c r="K94" s="52">
        <f>0</f>
        <v>0</v>
      </c>
      <c r="L94" s="52">
        <f>0</f>
        <v>0</v>
      </c>
      <c r="M94" s="52">
        <f>0</f>
        <v>0</v>
      </c>
      <c r="N94" s="52">
        <f>0</f>
        <v>0</v>
      </c>
      <c r="O94" s="52">
        <f>0</f>
        <v>0</v>
      </c>
      <c r="P94" s="52">
        <f>0</f>
        <v>0</v>
      </c>
      <c r="Q94" s="52">
        <f>0</f>
        <v>0</v>
      </c>
      <c r="R94" s="52">
        <f>0</f>
        <v>0</v>
      </c>
      <c r="S94" s="52">
        <f>0</f>
        <v>0</v>
      </c>
      <c r="T94" s="52">
        <f>0</f>
        <v>0</v>
      </c>
      <c r="U94" s="52">
        <f>0</f>
        <v>0</v>
      </c>
      <c r="V94" s="180">
        <f t="shared" ref="V94" si="26">SUM(B94:U94)</f>
        <v>0</v>
      </c>
      <c r="W94" s="133">
        <f t="shared" ref="W94" si="27">V94/20</f>
        <v>0</v>
      </c>
    </row>
    <row r="95" spans="1:23" s="3" customFormat="1" ht="13.5" customHeight="1">
      <c r="A95" s="49" t="s">
        <v>664</v>
      </c>
      <c r="B95" s="34">
        <f t="shared" ref="B95:U95" si="28">B94+B93</f>
        <v>2.2274999999999996E-2</v>
      </c>
      <c r="C95" s="34">
        <f t="shared" si="28"/>
        <v>2.2274999999999996E-2</v>
      </c>
      <c r="D95" s="34">
        <f t="shared" si="28"/>
        <v>2.2274999999999996E-2</v>
      </c>
      <c r="E95" s="34">
        <f t="shared" si="28"/>
        <v>2.2274999999999996E-2</v>
      </c>
      <c r="F95" s="34">
        <f t="shared" si="28"/>
        <v>2.2274999999999996E-2</v>
      </c>
      <c r="G95" s="34">
        <f t="shared" si="28"/>
        <v>2.2274999999999996E-2</v>
      </c>
      <c r="H95" s="34">
        <f t="shared" si="28"/>
        <v>2.2274999999999996E-2</v>
      </c>
      <c r="I95" s="34">
        <f t="shared" si="28"/>
        <v>2.2274999999999996E-2</v>
      </c>
      <c r="J95" s="34">
        <f t="shared" si="28"/>
        <v>2.2274999999999996E-2</v>
      </c>
      <c r="K95" s="34">
        <f t="shared" si="28"/>
        <v>2.2274999999999996E-2</v>
      </c>
      <c r="L95" s="34">
        <f t="shared" si="28"/>
        <v>2.2274999999999996E-2</v>
      </c>
      <c r="M95" s="34">
        <f t="shared" si="28"/>
        <v>2.2274999999999996E-2</v>
      </c>
      <c r="N95" s="34">
        <f t="shared" si="28"/>
        <v>2.2274999999999996E-2</v>
      </c>
      <c r="O95" s="34">
        <f t="shared" si="28"/>
        <v>2.2274999999999996E-2</v>
      </c>
      <c r="P95" s="34">
        <f t="shared" si="28"/>
        <v>2.2274999999999996E-2</v>
      </c>
      <c r="Q95" s="34">
        <f t="shared" si="28"/>
        <v>2.2274999999999996E-2</v>
      </c>
      <c r="R95" s="34">
        <f t="shared" si="28"/>
        <v>2.2274999999999996E-2</v>
      </c>
      <c r="S95" s="34">
        <f t="shared" si="28"/>
        <v>2.2274999999999996E-2</v>
      </c>
      <c r="T95" s="34">
        <f t="shared" si="28"/>
        <v>2.2274999999999996E-2</v>
      </c>
      <c r="U95" s="34">
        <f t="shared" si="28"/>
        <v>2.2274999999999996E-2</v>
      </c>
      <c r="V95" s="182">
        <f>SUM(B95:U95)</f>
        <v>0.44549999999999984</v>
      </c>
      <c r="W95" s="35">
        <f>V95/20</f>
        <v>2.2274999999999993E-2</v>
      </c>
    </row>
    <row r="96" spans="1:23" ht="13.5" customHeight="1">
      <c r="A96" s="134" t="s">
        <v>123</v>
      </c>
      <c r="B96" s="52">
        <v>0.96618357487922713</v>
      </c>
      <c r="C96" s="52">
        <v>0.93351070036640305</v>
      </c>
      <c r="D96" s="52">
        <v>0.90194270566802237</v>
      </c>
      <c r="E96" s="52">
        <v>0.87144222769857238</v>
      </c>
      <c r="F96" s="52">
        <v>0.84197316685852419</v>
      </c>
      <c r="G96" s="52">
        <v>0.81350064430775282</v>
      </c>
      <c r="H96" s="52">
        <v>0.78599096068381913</v>
      </c>
      <c r="I96" s="52">
        <v>0.75941155621625056</v>
      </c>
      <c r="J96" s="52">
        <v>0.73373097218961414</v>
      </c>
      <c r="K96" s="52">
        <v>0.70891881370977217</v>
      </c>
      <c r="L96" s="52">
        <v>0.68494571372924851</v>
      </c>
      <c r="M96" s="52">
        <v>0.66178329828912896</v>
      </c>
      <c r="N96" s="52">
        <v>0.63940415293635666</v>
      </c>
      <c r="O96" s="52">
        <v>0.61778179027667302</v>
      </c>
      <c r="P96" s="52">
        <v>0.59689061862480497</v>
      </c>
      <c r="Q96" s="52">
        <v>0.57670591171478747</v>
      </c>
      <c r="R96" s="52">
        <v>0.55720377943457733</v>
      </c>
      <c r="S96" s="52">
        <v>0.53836113955031628</v>
      </c>
      <c r="T96" s="52">
        <v>0.52015569038677911</v>
      </c>
      <c r="U96" s="52">
        <v>0.50256588443167061</v>
      </c>
      <c r="V96" s="180"/>
      <c r="W96" s="133"/>
    </row>
    <row r="97" spans="1:23" s="81" customFormat="1" ht="13.5" customHeight="1" thickBot="1">
      <c r="A97" s="50" t="s">
        <v>1069</v>
      </c>
      <c r="B97" s="34">
        <f t="shared" ref="B97:U97" si="29">B96*B95</f>
        <v>2.1521739130434779E-2</v>
      </c>
      <c r="C97" s="34">
        <f t="shared" si="29"/>
        <v>2.0793950850661623E-2</v>
      </c>
      <c r="D97" s="34">
        <f t="shared" si="29"/>
        <v>2.0090773768755194E-2</v>
      </c>
      <c r="E97" s="34">
        <f t="shared" si="29"/>
        <v>1.9411375621985697E-2</v>
      </c>
      <c r="F97" s="34">
        <f t="shared" si="29"/>
        <v>1.8754952291773624E-2</v>
      </c>
      <c r="G97" s="34">
        <f t="shared" si="29"/>
        <v>1.8120726851955191E-2</v>
      </c>
      <c r="H97" s="34">
        <f t="shared" si="29"/>
        <v>1.750794864923207E-2</v>
      </c>
      <c r="I97" s="34">
        <f t="shared" si="29"/>
        <v>1.6915892414716978E-2</v>
      </c>
      <c r="J97" s="34">
        <f t="shared" si="29"/>
        <v>1.6343857405523653E-2</v>
      </c>
      <c r="K97" s="34">
        <f t="shared" si="29"/>
        <v>1.5791166575385172E-2</v>
      </c>
      <c r="L97" s="34">
        <f t="shared" si="29"/>
        <v>1.5257165773319007E-2</v>
      </c>
      <c r="M97" s="34">
        <f t="shared" si="29"/>
        <v>1.4741222969390346E-2</v>
      </c>
      <c r="N97" s="34">
        <f t="shared" si="29"/>
        <v>1.4242727506657343E-2</v>
      </c>
      <c r="O97" s="34">
        <f t="shared" si="29"/>
        <v>1.3761089378412888E-2</v>
      </c>
      <c r="P97" s="34">
        <f t="shared" si="29"/>
        <v>1.3295738529867528E-2</v>
      </c>
      <c r="Q97" s="34">
        <f t="shared" si="29"/>
        <v>1.2846124183446888E-2</v>
      </c>
      <c r="R97" s="34">
        <f t="shared" si="29"/>
        <v>1.2411714186905207E-2</v>
      </c>
      <c r="S97" s="34">
        <f t="shared" si="29"/>
        <v>1.1991994383483293E-2</v>
      </c>
      <c r="T97" s="34">
        <f t="shared" si="29"/>
        <v>1.1586468003365503E-2</v>
      </c>
      <c r="U97" s="34">
        <f t="shared" si="29"/>
        <v>1.1194655075715461E-2</v>
      </c>
      <c r="V97" s="182">
        <f>SUM(B97:U97)</f>
        <v>0.31658128355098747</v>
      </c>
      <c r="W97" s="133"/>
    </row>
    <row r="98" spans="1:23" ht="13.5" customHeight="1">
      <c r="A98" s="199"/>
      <c r="B98" s="128"/>
      <c r="C98" s="128"/>
      <c r="D98" s="128"/>
      <c r="E98" s="128"/>
      <c r="F98" s="128"/>
      <c r="G98" s="128"/>
      <c r="H98" s="128"/>
      <c r="I98" s="128"/>
      <c r="J98" s="128"/>
      <c r="K98" s="128"/>
      <c r="L98" s="128"/>
      <c r="M98" s="128"/>
      <c r="N98" s="128"/>
      <c r="O98" s="128"/>
      <c r="P98" s="128"/>
      <c r="Q98" s="128"/>
      <c r="R98" s="128"/>
      <c r="S98" s="128"/>
      <c r="T98" s="128"/>
      <c r="U98" s="128"/>
      <c r="V98" s="178"/>
      <c r="W98" s="130"/>
    </row>
    <row r="99" spans="1:23" ht="21" customHeight="1">
      <c r="A99" s="164" t="s">
        <v>1056</v>
      </c>
      <c r="V99" s="179"/>
      <c r="W99" s="140"/>
    </row>
    <row r="100" spans="1:23" ht="13.5" customHeight="1">
      <c r="A100" s="164"/>
      <c r="V100" s="179"/>
      <c r="W100" s="140"/>
    </row>
    <row r="101" spans="1:23" ht="13.5" customHeight="1">
      <c r="A101" s="193" t="s">
        <v>1063</v>
      </c>
      <c r="V101" s="179"/>
      <c r="W101" s="140"/>
    </row>
    <row r="102" spans="1:23" ht="14.25" customHeight="1">
      <c r="A102" s="191" t="s">
        <v>1059</v>
      </c>
      <c r="B102" s="136"/>
      <c r="C102" s="136"/>
      <c r="D102" s="136"/>
      <c r="E102" s="136"/>
      <c r="F102" s="136"/>
      <c r="G102" s="136"/>
      <c r="H102" s="136"/>
      <c r="I102" s="136"/>
      <c r="J102" s="136"/>
      <c r="K102" s="136"/>
      <c r="L102" s="136"/>
      <c r="M102" s="136"/>
      <c r="N102" s="136"/>
      <c r="O102" s="136"/>
      <c r="P102" s="136"/>
      <c r="Q102" s="136"/>
      <c r="R102" s="136"/>
      <c r="S102" s="136"/>
      <c r="T102" s="136"/>
      <c r="U102" s="136"/>
      <c r="V102" s="180"/>
      <c r="W102" s="133"/>
    </row>
    <row r="103" spans="1:23" s="100" customFormat="1" ht="13.5" customHeight="1">
      <c r="A103" s="165" t="s">
        <v>1011</v>
      </c>
      <c r="B103" s="100">
        <f>('Scenario 1 Assumptions'!$D$138+'Scenario 1 Assumptions'!$D$139+'Scenario 1 Assumptions'!$D$140+'Scenario 1 Assumptions'!$D$141)*'Scenario 1 Assumptions'!$B$104</f>
        <v>2.7E-2</v>
      </c>
      <c r="C103" s="148">
        <v>0</v>
      </c>
      <c r="D103" s="148">
        <v>0</v>
      </c>
      <c r="E103" s="100">
        <f>('Scenario 1 Assumptions'!$D$138+'Scenario 1 Assumptions'!$D$139+'Scenario 1 Assumptions'!$D$140+'Scenario 1 Assumptions'!$D$141)*'Scenario 1 Assumptions'!$B$104</f>
        <v>2.7E-2</v>
      </c>
      <c r="F103" s="148">
        <v>0</v>
      </c>
      <c r="G103" s="148">
        <v>0</v>
      </c>
      <c r="H103" s="100">
        <f>('Scenario 1 Assumptions'!$D$138+'Scenario 1 Assumptions'!$D$139+'Scenario 1 Assumptions'!$D$140+'Scenario 1 Assumptions'!$D$141)*'Scenario 1 Assumptions'!$B$104</f>
        <v>2.7E-2</v>
      </c>
      <c r="I103" s="148">
        <v>0</v>
      </c>
      <c r="J103" s="148">
        <v>0</v>
      </c>
      <c r="K103" s="100">
        <f>('Scenario 1 Assumptions'!$D$138+'Scenario 1 Assumptions'!$D$139+'Scenario 1 Assumptions'!$D$140+'Scenario 1 Assumptions'!$D$141)*'Scenario 1 Assumptions'!$B$104</f>
        <v>2.7E-2</v>
      </c>
      <c r="L103" s="148">
        <v>0</v>
      </c>
      <c r="M103" s="148">
        <v>0</v>
      </c>
      <c r="N103" s="100">
        <f>('Scenario 1 Assumptions'!$D$138+'Scenario 1 Assumptions'!$D$139+'Scenario 1 Assumptions'!$D$140+'Scenario 1 Assumptions'!$D$141)*'Scenario 1 Assumptions'!$B$104</f>
        <v>2.7E-2</v>
      </c>
      <c r="O103" s="148">
        <v>0</v>
      </c>
      <c r="P103" s="148">
        <v>0</v>
      </c>
      <c r="Q103" s="100">
        <f>('Scenario 1 Assumptions'!$D$138+'Scenario 1 Assumptions'!$D$139+'Scenario 1 Assumptions'!$D$140+'Scenario 1 Assumptions'!$D$141)*'Scenario 1 Assumptions'!$B$104</f>
        <v>2.7E-2</v>
      </c>
      <c r="R103" s="148">
        <v>0</v>
      </c>
      <c r="S103" s="148">
        <v>0</v>
      </c>
      <c r="T103" s="100">
        <f>('Scenario 1 Assumptions'!$D$138+'Scenario 1 Assumptions'!$D$139+'Scenario 1 Assumptions'!$D$140+'Scenario 1 Assumptions'!$D$141)*'Scenario 1 Assumptions'!$B$104</f>
        <v>2.7E-2</v>
      </c>
      <c r="U103" s="148">
        <v>0</v>
      </c>
      <c r="V103" s="180">
        <f>SUM(B103:U103)</f>
        <v>0.189</v>
      </c>
      <c r="W103" s="166">
        <f>V103/20</f>
        <v>9.4500000000000001E-3</v>
      </c>
    </row>
    <row r="104" spans="1:23" s="100" customFormat="1" ht="13.5" customHeight="1">
      <c r="A104" s="165" t="s">
        <v>982</v>
      </c>
      <c r="B104" s="52">
        <f>'Scenario 1 Assumptions'!$B$104*'Scenario 1 Assumptions'!$D$142</f>
        <v>6.7499999999999999E-3</v>
      </c>
      <c r="C104" s="52">
        <f>SUM(C103:C103)</f>
        <v>0</v>
      </c>
      <c r="D104" s="52">
        <f>SUM(D103:D103)</f>
        <v>0</v>
      </c>
      <c r="E104" s="52">
        <f>'Scenario 1 Assumptions'!$B$104*'Scenario 1 Assumptions'!$D$142</f>
        <v>6.7499999999999999E-3</v>
      </c>
      <c r="F104" s="52">
        <f>SUM(F103:F103)</f>
        <v>0</v>
      </c>
      <c r="G104" s="52">
        <f>SUM(G103:G103)</f>
        <v>0</v>
      </c>
      <c r="H104" s="52">
        <f>'Scenario 1 Assumptions'!$B$104*'Scenario 1 Assumptions'!$D$142</f>
        <v>6.7499999999999999E-3</v>
      </c>
      <c r="I104" s="52">
        <f>SUM(I103:I103)</f>
        <v>0</v>
      </c>
      <c r="J104" s="52">
        <f>SUM(J103:J103)</f>
        <v>0</v>
      </c>
      <c r="K104" s="52">
        <f>'Scenario 1 Assumptions'!$B$104*'Scenario 1 Assumptions'!$D$142</f>
        <v>6.7499999999999999E-3</v>
      </c>
      <c r="L104" s="52">
        <f>SUM(L103:L103)</f>
        <v>0</v>
      </c>
      <c r="M104" s="52">
        <f>SUM(M103:M103)</f>
        <v>0</v>
      </c>
      <c r="N104" s="52">
        <f>'Scenario 1 Assumptions'!$B$104*'Scenario 1 Assumptions'!$D$142</f>
        <v>6.7499999999999999E-3</v>
      </c>
      <c r="O104" s="52">
        <f>SUM(O103:O103)</f>
        <v>0</v>
      </c>
      <c r="P104" s="52">
        <f>SUM(P103:P103)</f>
        <v>0</v>
      </c>
      <c r="Q104" s="52">
        <f>'Scenario 1 Assumptions'!$B$104*'Scenario 1 Assumptions'!$D$142</f>
        <v>6.7499999999999999E-3</v>
      </c>
      <c r="R104" s="52">
        <f>SUM(R103:R103)</f>
        <v>0</v>
      </c>
      <c r="S104" s="52">
        <f>SUM(S103:S103)</f>
        <v>0</v>
      </c>
      <c r="T104" s="52">
        <f>'Scenario 1 Assumptions'!$B$104*'Scenario 1 Assumptions'!$D$142</f>
        <v>6.7499999999999999E-3</v>
      </c>
      <c r="U104" s="148">
        <v>0</v>
      </c>
      <c r="V104" s="180">
        <f>SUM(B104:U104)</f>
        <v>4.725E-2</v>
      </c>
      <c r="W104" s="166">
        <f>V104/20</f>
        <v>2.3625E-3</v>
      </c>
    </row>
    <row r="105" spans="1:23" s="99" customFormat="1" ht="13.5" customHeight="1">
      <c r="A105" s="149"/>
      <c r="B105" s="150"/>
      <c r="C105" s="150"/>
      <c r="D105" s="150"/>
      <c r="E105" s="150"/>
      <c r="F105" s="150"/>
      <c r="G105" s="150"/>
      <c r="H105" s="150"/>
      <c r="I105" s="150"/>
      <c r="J105" s="150"/>
      <c r="K105" s="150"/>
      <c r="L105" s="150"/>
      <c r="M105" s="150"/>
      <c r="N105" s="150"/>
      <c r="O105" s="150"/>
      <c r="P105" s="150"/>
      <c r="Q105" s="150"/>
      <c r="R105" s="150"/>
      <c r="S105" s="150"/>
      <c r="T105" s="150"/>
      <c r="U105" s="150"/>
      <c r="V105" s="181"/>
      <c r="W105" s="151"/>
    </row>
    <row r="106" spans="1:23" s="99" customFormat="1" ht="13.5" customHeight="1">
      <c r="A106" s="195" t="s">
        <v>1064</v>
      </c>
      <c r="V106" s="179"/>
      <c r="W106" s="132"/>
    </row>
    <row r="107" spans="1:23" s="100" customFormat="1" ht="13.5" customHeight="1">
      <c r="A107" s="192" t="s">
        <v>1060</v>
      </c>
      <c r="V107" s="179"/>
      <c r="W107" s="132"/>
    </row>
    <row r="108" spans="1:23" s="99" customFormat="1" ht="13.5" customHeight="1">
      <c r="A108" s="168" t="s">
        <v>1085</v>
      </c>
      <c r="B108" s="116">
        <f>('Scenario 1 Assumptions'!$D71*'Scenario 1 Assumptions'!$B$8)+('Scenario 1 Assumptions'!$D72*'Scenario 1 Assumptions'!$B$8)</f>
        <v>0</v>
      </c>
      <c r="C108" s="116">
        <f>('Scenario 1 Assumptions'!$D71*'Scenario 1 Assumptions'!$B$8)+('Scenario 1 Assumptions'!$D72*'Scenario 1 Assumptions'!$B$8)</f>
        <v>0</v>
      </c>
      <c r="D108" s="116">
        <f>('Scenario 1 Assumptions'!$D71*'Scenario 1 Assumptions'!$B$8)+('Scenario 1 Assumptions'!$D72*'Scenario 1 Assumptions'!$B$8)</f>
        <v>0</v>
      </c>
      <c r="E108" s="116">
        <f>('Scenario 1 Assumptions'!$D71*'Scenario 1 Assumptions'!$B$8)+('Scenario 1 Assumptions'!$D72*'Scenario 1 Assumptions'!$B$8)</f>
        <v>0</v>
      </c>
      <c r="F108" s="116">
        <f>('Scenario 1 Assumptions'!$D71*'Scenario 1 Assumptions'!$B$8)+('Scenario 1 Assumptions'!$D72*'Scenario 1 Assumptions'!$B$8)</f>
        <v>0</v>
      </c>
      <c r="G108" s="116">
        <f>('Scenario 1 Assumptions'!$D71*'Scenario 1 Assumptions'!$B$8)+('Scenario 1 Assumptions'!$D72*'Scenario 1 Assumptions'!$B$8)</f>
        <v>0</v>
      </c>
      <c r="H108" s="116">
        <f>('Scenario 1 Assumptions'!$D71*'Scenario 1 Assumptions'!$B$8)+('Scenario 1 Assumptions'!$D72*'Scenario 1 Assumptions'!$B$8)</f>
        <v>0</v>
      </c>
      <c r="I108" s="116">
        <f>('Scenario 1 Assumptions'!$D71*'Scenario 1 Assumptions'!$B$8)+('Scenario 1 Assumptions'!$D72*'Scenario 1 Assumptions'!$B$8)</f>
        <v>0</v>
      </c>
      <c r="J108" s="116">
        <f>('Scenario 1 Assumptions'!$D71*'Scenario 1 Assumptions'!$B$8)+('Scenario 1 Assumptions'!$D72*'Scenario 1 Assumptions'!$B$8)</f>
        <v>0</v>
      </c>
      <c r="K108" s="116">
        <f>('Scenario 1 Assumptions'!$D71*'Scenario 1 Assumptions'!$B$8)+('Scenario 1 Assumptions'!$D72*'Scenario 1 Assumptions'!$B$8)</f>
        <v>0</v>
      </c>
      <c r="L108" s="116">
        <f>('Scenario 1 Assumptions'!$D71*'Scenario 1 Assumptions'!$B$8)+('Scenario 1 Assumptions'!$D72*'Scenario 1 Assumptions'!$B$8)</f>
        <v>0</v>
      </c>
      <c r="M108" s="116">
        <f>('Scenario 1 Assumptions'!$D71*'Scenario 1 Assumptions'!$B$8)+('Scenario 1 Assumptions'!$D72*'Scenario 1 Assumptions'!$B$8)</f>
        <v>0</v>
      </c>
      <c r="N108" s="116">
        <f>('Scenario 1 Assumptions'!$D71*'Scenario 1 Assumptions'!$B$8)+('Scenario 1 Assumptions'!$D72*'Scenario 1 Assumptions'!$B$8)</f>
        <v>0</v>
      </c>
      <c r="O108" s="116">
        <f>('Scenario 1 Assumptions'!$D71*'Scenario 1 Assumptions'!$B$8)+('Scenario 1 Assumptions'!$D72*'Scenario 1 Assumptions'!$B$8)</f>
        <v>0</v>
      </c>
      <c r="P108" s="116">
        <f>('Scenario 1 Assumptions'!$D71*'Scenario 1 Assumptions'!$B$8)+('Scenario 1 Assumptions'!$D72*'Scenario 1 Assumptions'!$B$8)</f>
        <v>0</v>
      </c>
      <c r="Q108" s="116">
        <f>('Scenario 1 Assumptions'!$D71*'Scenario 1 Assumptions'!$B$8)+('Scenario 1 Assumptions'!$D72*'Scenario 1 Assumptions'!$B$8)</f>
        <v>0</v>
      </c>
      <c r="R108" s="116">
        <f>('Scenario 1 Assumptions'!$D71*'Scenario 1 Assumptions'!$B$8)+('Scenario 1 Assumptions'!$D72*'Scenario 1 Assumptions'!$B$8)</f>
        <v>0</v>
      </c>
      <c r="S108" s="116">
        <f>('Scenario 1 Assumptions'!$D71*'Scenario 1 Assumptions'!$B$8)+('Scenario 1 Assumptions'!$D72*'Scenario 1 Assumptions'!$B$8)</f>
        <v>0</v>
      </c>
      <c r="T108" s="116">
        <f>('Scenario 1 Assumptions'!$D71*'Scenario 1 Assumptions'!$B$8)+('Scenario 1 Assumptions'!$D72*'Scenario 1 Assumptions'!$B$8)</f>
        <v>0</v>
      </c>
      <c r="U108" s="116">
        <f>('Scenario 1 Assumptions'!$D71*'Scenario 1 Assumptions'!$B$8)+('Scenario 1 Assumptions'!$D72*'Scenario 1 Assumptions'!$B$8)</f>
        <v>0</v>
      </c>
      <c r="V108" s="180">
        <f>SUM(B108:U108)</f>
        <v>0</v>
      </c>
      <c r="W108" s="133">
        <f>V108/20</f>
        <v>0</v>
      </c>
    </row>
    <row r="109" spans="1:23" s="99" customFormat="1" ht="13.5" customHeight="1">
      <c r="A109" s="168" t="s">
        <v>1086</v>
      </c>
      <c r="B109" s="116">
        <f>('Scenario 1 Assumptions'!$D73*'Scenario 1 Assumptions'!$B$8)+('Scenario 1 Assumptions'!$D74*'Scenario 1 Assumptions'!$B$8)</f>
        <v>8.0999999999999996E-3</v>
      </c>
      <c r="C109" s="116">
        <f>('Scenario 1 Assumptions'!$D73*'Scenario 1 Assumptions'!$B$8)+('Scenario 1 Assumptions'!$D74*'Scenario 1 Assumptions'!$B$8)</f>
        <v>8.0999999999999996E-3</v>
      </c>
      <c r="D109" s="116">
        <f>('Scenario 1 Assumptions'!$D73*'Scenario 1 Assumptions'!$B$8)+('Scenario 1 Assumptions'!$D74*'Scenario 1 Assumptions'!$B$8)</f>
        <v>8.0999999999999996E-3</v>
      </c>
      <c r="E109" s="116">
        <f>('Scenario 1 Assumptions'!$D73*'Scenario 1 Assumptions'!$B$8)+('Scenario 1 Assumptions'!$D74*'Scenario 1 Assumptions'!$B$8)</f>
        <v>8.0999999999999996E-3</v>
      </c>
      <c r="F109" s="116">
        <f>('Scenario 1 Assumptions'!$D73*'Scenario 1 Assumptions'!$B$8)+('Scenario 1 Assumptions'!$D74*'Scenario 1 Assumptions'!$B$8)</f>
        <v>8.0999999999999996E-3</v>
      </c>
      <c r="G109" s="116">
        <f>('Scenario 1 Assumptions'!$D73*'Scenario 1 Assumptions'!$B$8)+('Scenario 1 Assumptions'!$D74*'Scenario 1 Assumptions'!$B$8)</f>
        <v>8.0999999999999996E-3</v>
      </c>
      <c r="H109" s="116">
        <f>('Scenario 1 Assumptions'!$D73*'Scenario 1 Assumptions'!$B$8)+('Scenario 1 Assumptions'!$D74*'Scenario 1 Assumptions'!$B$8)</f>
        <v>8.0999999999999996E-3</v>
      </c>
      <c r="I109" s="116">
        <f>('Scenario 1 Assumptions'!$D73*'Scenario 1 Assumptions'!$B$8)+('Scenario 1 Assumptions'!$D74*'Scenario 1 Assumptions'!$B$8)</f>
        <v>8.0999999999999996E-3</v>
      </c>
      <c r="J109" s="116">
        <f>('Scenario 1 Assumptions'!$D73*'Scenario 1 Assumptions'!$B$8)+('Scenario 1 Assumptions'!$D74*'Scenario 1 Assumptions'!$B$8)</f>
        <v>8.0999999999999996E-3</v>
      </c>
      <c r="K109" s="116">
        <f>('Scenario 1 Assumptions'!$D73*'Scenario 1 Assumptions'!$B$8)+('Scenario 1 Assumptions'!$D74*'Scenario 1 Assumptions'!$B$8)</f>
        <v>8.0999999999999996E-3</v>
      </c>
      <c r="L109" s="116">
        <f>('Scenario 1 Assumptions'!$D73*'Scenario 1 Assumptions'!$B$8)+('Scenario 1 Assumptions'!$D74*'Scenario 1 Assumptions'!$B$8)</f>
        <v>8.0999999999999996E-3</v>
      </c>
      <c r="M109" s="116">
        <f>('Scenario 1 Assumptions'!$D73*'Scenario 1 Assumptions'!$B$8)+('Scenario 1 Assumptions'!$D74*'Scenario 1 Assumptions'!$B$8)</f>
        <v>8.0999999999999996E-3</v>
      </c>
      <c r="N109" s="116">
        <f>('Scenario 1 Assumptions'!$D73*'Scenario 1 Assumptions'!$B$8)+('Scenario 1 Assumptions'!$D74*'Scenario 1 Assumptions'!$B$8)</f>
        <v>8.0999999999999996E-3</v>
      </c>
      <c r="O109" s="116">
        <f>('Scenario 1 Assumptions'!$D73*'Scenario 1 Assumptions'!$B$8)+('Scenario 1 Assumptions'!$D74*'Scenario 1 Assumptions'!$B$8)</f>
        <v>8.0999999999999996E-3</v>
      </c>
      <c r="P109" s="116">
        <f>('Scenario 1 Assumptions'!$D73*'Scenario 1 Assumptions'!$B$8)+('Scenario 1 Assumptions'!$D74*'Scenario 1 Assumptions'!$B$8)</f>
        <v>8.0999999999999996E-3</v>
      </c>
      <c r="Q109" s="116">
        <f>('Scenario 1 Assumptions'!$D73*'Scenario 1 Assumptions'!$B$8)+('Scenario 1 Assumptions'!$D74*'Scenario 1 Assumptions'!$B$8)</f>
        <v>8.0999999999999996E-3</v>
      </c>
      <c r="R109" s="116">
        <f>('Scenario 1 Assumptions'!$D73*'Scenario 1 Assumptions'!$B$8)+('Scenario 1 Assumptions'!$D74*'Scenario 1 Assumptions'!$B$8)</f>
        <v>8.0999999999999996E-3</v>
      </c>
      <c r="S109" s="116">
        <f>('Scenario 1 Assumptions'!$D73*'Scenario 1 Assumptions'!$B$8)+('Scenario 1 Assumptions'!$D74*'Scenario 1 Assumptions'!$B$8)</f>
        <v>8.0999999999999996E-3</v>
      </c>
      <c r="T109" s="116">
        <f>('Scenario 1 Assumptions'!$D73*'Scenario 1 Assumptions'!$B$8)+('Scenario 1 Assumptions'!$D74*'Scenario 1 Assumptions'!$B$8)</f>
        <v>8.0999999999999996E-3</v>
      </c>
      <c r="U109" s="116">
        <f>('Scenario 1 Assumptions'!$D73*'Scenario 1 Assumptions'!$B$8)+('Scenario 1 Assumptions'!$D74*'Scenario 1 Assumptions'!$B$8)</f>
        <v>8.0999999999999996E-3</v>
      </c>
      <c r="V109" s="180">
        <f>SUM(B109:U109)</f>
        <v>0.16199999999999995</v>
      </c>
      <c r="W109" s="133">
        <f>V109/20</f>
        <v>8.0999999999999978E-3</v>
      </c>
    </row>
    <row r="110" spans="1:23" s="99" customFormat="1" ht="13.5" customHeight="1">
      <c r="A110" s="168"/>
      <c r="B110" s="116"/>
      <c r="C110" s="116"/>
      <c r="D110" s="116"/>
      <c r="E110" s="116"/>
      <c r="F110" s="116"/>
      <c r="G110" s="116"/>
      <c r="H110" s="116"/>
      <c r="I110" s="116"/>
      <c r="J110" s="116"/>
      <c r="K110" s="116"/>
      <c r="L110" s="116"/>
      <c r="M110" s="116"/>
      <c r="N110" s="116"/>
      <c r="O110" s="116"/>
      <c r="P110" s="116"/>
      <c r="Q110" s="116"/>
      <c r="R110" s="116"/>
      <c r="S110" s="116"/>
      <c r="T110" s="116"/>
      <c r="U110" s="116"/>
      <c r="V110" s="180"/>
      <c r="W110" s="133"/>
    </row>
    <row r="111" spans="1:23" s="99" customFormat="1" ht="13.5" customHeight="1">
      <c r="A111" s="200" t="s">
        <v>679</v>
      </c>
      <c r="B111" s="148">
        <f>SUM(B103:B109)</f>
        <v>4.1849999999999998E-2</v>
      </c>
      <c r="C111" s="148">
        <f t="shared" ref="C111:U111" si="30">SUM(C103:C109)</f>
        <v>8.0999999999999996E-3</v>
      </c>
      <c r="D111" s="148">
        <f t="shared" si="30"/>
        <v>8.0999999999999996E-3</v>
      </c>
      <c r="E111" s="148">
        <f t="shared" si="30"/>
        <v>4.1849999999999998E-2</v>
      </c>
      <c r="F111" s="148">
        <f t="shared" si="30"/>
        <v>8.0999999999999996E-3</v>
      </c>
      <c r="G111" s="148">
        <f t="shared" si="30"/>
        <v>8.0999999999999996E-3</v>
      </c>
      <c r="H111" s="148">
        <f t="shared" si="30"/>
        <v>4.1849999999999998E-2</v>
      </c>
      <c r="I111" s="148">
        <f t="shared" si="30"/>
        <v>8.0999999999999996E-3</v>
      </c>
      <c r="J111" s="148">
        <f t="shared" si="30"/>
        <v>8.0999999999999996E-3</v>
      </c>
      <c r="K111" s="148">
        <f t="shared" si="30"/>
        <v>4.1849999999999998E-2</v>
      </c>
      <c r="L111" s="148">
        <f t="shared" si="30"/>
        <v>8.0999999999999996E-3</v>
      </c>
      <c r="M111" s="148">
        <f t="shared" si="30"/>
        <v>8.0999999999999996E-3</v>
      </c>
      <c r="N111" s="148">
        <f t="shared" si="30"/>
        <v>4.1849999999999998E-2</v>
      </c>
      <c r="O111" s="148">
        <f t="shared" si="30"/>
        <v>8.0999999999999996E-3</v>
      </c>
      <c r="P111" s="148">
        <f t="shared" si="30"/>
        <v>8.0999999999999996E-3</v>
      </c>
      <c r="Q111" s="148">
        <f t="shared" si="30"/>
        <v>4.1849999999999998E-2</v>
      </c>
      <c r="R111" s="148">
        <f t="shared" si="30"/>
        <v>8.0999999999999996E-3</v>
      </c>
      <c r="S111" s="148">
        <f t="shared" si="30"/>
        <v>8.0999999999999996E-3</v>
      </c>
      <c r="T111" s="148">
        <f t="shared" si="30"/>
        <v>4.1849999999999998E-2</v>
      </c>
      <c r="U111" s="148">
        <f t="shared" si="30"/>
        <v>8.0999999999999996E-3</v>
      </c>
      <c r="V111" s="180">
        <f t="shared" ref="V111" si="31">SUM(B111:U111)</f>
        <v>0.39824999999999994</v>
      </c>
      <c r="W111" s="133">
        <f t="shared" ref="W111" si="32">V111/20</f>
        <v>1.9912499999999996E-2</v>
      </c>
    </row>
    <row r="112" spans="1:23" s="99" customFormat="1" ht="13.5" customHeight="1">
      <c r="A112" s="200" t="s">
        <v>680</v>
      </c>
      <c r="B112" s="52">
        <f>0</f>
        <v>0</v>
      </c>
      <c r="C112" s="52">
        <f>0</f>
        <v>0</v>
      </c>
      <c r="D112" s="52">
        <f>0</f>
        <v>0</v>
      </c>
      <c r="E112" s="52">
        <f>0</f>
        <v>0</v>
      </c>
      <c r="F112" s="52">
        <f>0</f>
        <v>0</v>
      </c>
      <c r="G112" s="52">
        <f>0</f>
        <v>0</v>
      </c>
      <c r="H112" s="52">
        <f>0</f>
        <v>0</v>
      </c>
      <c r="I112" s="52">
        <f>0</f>
        <v>0</v>
      </c>
      <c r="J112" s="52">
        <f>0</f>
        <v>0</v>
      </c>
      <c r="K112" s="52">
        <f>0</f>
        <v>0</v>
      </c>
      <c r="L112" s="52">
        <f>0</f>
        <v>0</v>
      </c>
      <c r="M112" s="52">
        <f>0</f>
        <v>0</v>
      </c>
      <c r="N112" s="52">
        <f>0</f>
        <v>0</v>
      </c>
      <c r="O112" s="52">
        <f>0</f>
        <v>0</v>
      </c>
      <c r="P112" s="52">
        <f>0</f>
        <v>0</v>
      </c>
      <c r="Q112" s="52">
        <f>0</f>
        <v>0</v>
      </c>
      <c r="R112" s="52">
        <f>0</f>
        <v>0</v>
      </c>
      <c r="S112" s="52">
        <f>0</f>
        <v>0</v>
      </c>
      <c r="T112" s="52">
        <f>0</f>
        <v>0</v>
      </c>
      <c r="U112" s="52">
        <f>0</f>
        <v>0</v>
      </c>
      <c r="V112" s="180">
        <f t="shared" ref="V112" si="33">SUM(B112:U112)</f>
        <v>0</v>
      </c>
      <c r="W112" s="133">
        <f t="shared" ref="W112" si="34">V112/20</f>
        <v>0</v>
      </c>
    </row>
    <row r="113" spans="1:23" s="3" customFormat="1" ht="13.5" customHeight="1">
      <c r="A113" s="49" t="s">
        <v>664</v>
      </c>
      <c r="B113" s="34">
        <f t="shared" ref="B113:U113" si="35">B112+B111</f>
        <v>4.1849999999999998E-2</v>
      </c>
      <c r="C113" s="34">
        <f t="shared" si="35"/>
        <v>8.0999999999999996E-3</v>
      </c>
      <c r="D113" s="34">
        <f t="shared" si="35"/>
        <v>8.0999999999999996E-3</v>
      </c>
      <c r="E113" s="34">
        <f t="shared" si="35"/>
        <v>4.1849999999999998E-2</v>
      </c>
      <c r="F113" s="34">
        <f t="shared" si="35"/>
        <v>8.0999999999999996E-3</v>
      </c>
      <c r="G113" s="34">
        <f t="shared" si="35"/>
        <v>8.0999999999999996E-3</v>
      </c>
      <c r="H113" s="34">
        <f t="shared" si="35"/>
        <v>4.1849999999999998E-2</v>
      </c>
      <c r="I113" s="34">
        <f t="shared" si="35"/>
        <v>8.0999999999999996E-3</v>
      </c>
      <c r="J113" s="34">
        <f t="shared" si="35"/>
        <v>8.0999999999999996E-3</v>
      </c>
      <c r="K113" s="34">
        <f t="shared" si="35"/>
        <v>4.1849999999999998E-2</v>
      </c>
      <c r="L113" s="34">
        <f t="shared" si="35"/>
        <v>8.0999999999999996E-3</v>
      </c>
      <c r="M113" s="34">
        <f t="shared" si="35"/>
        <v>8.0999999999999996E-3</v>
      </c>
      <c r="N113" s="34">
        <f t="shared" si="35"/>
        <v>4.1849999999999998E-2</v>
      </c>
      <c r="O113" s="34">
        <f t="shared" si="35"/>
        <v>8.0999999999999996E-3</v>
      </c>
      <c r="P113" s="34">
        <f t="shared" si="35"/>
        <v>8.0999999999999996E-3</v>
      </c>
      <c r="Q113" s="34">
        <f t="shared" si="35"/>
        <v>4.1849999999999998E-2</v>
      </c>
      <c r="R113" s="34">
        <f t="shared" si="35"/>
        <v>8.0999999999999996E-3</v>
      </c>
      <c r="S113" s="34">
        <f t="shared" si="35"/>
        <v>8.0999999999999996E-3</v>
      </c>
      <c r="T113" s="34">
        <f t="shared" si="35"/>
        <v>4.1849999999999998E-2</v>
      </c>
      <c r="U113" s="34">
        <f t="shared" si="35"/>
        <v>8.0999999999999996E-3</v>
      </c>
      <c r="V113" s="182">
        <f>SUM(B113:U113)</f>
        <v>0.39824999999999994</v>
      </c>
      <c r="W113" s="35">
        <f>V113/20</f>
        <v>1.9912499999999996E-2</v>
      </c>
    </row>
    <row r="114" spans="1:23" ht="13.5" customHeight="1">
      <c r="A114" s="134" t="s">
        <v>123</v>
      </c>
      <c r="B114" s="52">
        <v>0.96618357487922713</v>
      </c>
      <c r="C114" s="52">
        <v>0.93351070036640305</v>
      </c>
      <c r="D114" s="52">
        <v>0.90194270566802237</v>
      </c>
      <c r="E114" s="52">
        <v>0.87144222769857238</v>
      </c>
      <c r="F114" s="52">
        <v>0.84197316685852419</v>
      </c>
      <c r="G114" s="52">
        <v>0.81350064430775282</v>
      </c>
      <c r="H114" s="52">
        <v>0.78599096068381913</v>
      </c>
      <c r="I114" s="52">
        <v>0.75941155621625056</v>
      </c>
      <c r="J114" s="52">
        <v>0.73373097218961414</v>
      </c>
      <c r="K114" s="52">
        <v>0.70891881370977217</v>
      </c>
      <c r="L114" s="52">
        <v>0.68494571372924851</v>
      </c>
      <c r="M114" s="52">
        <v>0.66178329828912896</v>
      </c>
      <c r="N114" s="52">
        <v>0.63940415293635666</v>
      </c>
      <c r="O114" s="52">
        <v>0.61778179027667302</v>
      </c>
      <c r="P114" s="52">
        <v>0.59689061862480497</v>
      </c>
      <c r="Q114" s="52">
        <v>0.57670591171478747</v>
      </c>
      <c r="R114" s="52">
        <v>0.55720377943457733</v>
      </c>
      <c r="S114" s="52">
        <v>0.53836113955031628</v>
      </c>
      <c r="T114" s="52">
        <v>0.52015569038677911</v>
      </c>
      <c r="U114" s="52">
        <v>0.50256588443167061</v>
      </c>
      <c r="V114" s="180"/>
      <c r="W114" s="133"/>
    </row>
    <row r="115" spans="1:23" s="81" customFormat="1" ht="13.5" customHeight="1" thickBot="1">
      <c r="A115" s="50" t="s">
        <v>1069</v>
      </c>
      <c r="B115" s="34">
        <f t="shared" ref="B115:U115" si="36">B114*B113</f>
        <v>4.0434782608695652E-2</v>
      </c>
      <c r="C115" s="34">
        <f t="shared" si="36"/>
        <v>7.5614366729678641E-3</v>
      </c>
      <c r="D115" s="34">
        <f t="shared" si="36"/>
        <v>7.3057359159109806E-3</v>
      </c>
      <c r="E115" s="34">
        <f t="shared" si="36"/>
        <v>3.6469857229185255E-2</v>
      </c>
      <c r="F115" s="34">
        <f t="shared" si="36"/>
        <v>6.8199826515540456E-3</v>
      </c>
      <c r="G115" s="34">
        <f t="shared" si="36"/>
        <v>6.5893552188927978E-3</v>
      </c>
      <c r="H115" s="34">
        <f t="shared" si="36"/>
        <v>3.289372170461783E-2</v>
      </c>
      <c r="I115" s="34">
        <f t="shared" si="36"/>
        <v>6.1512336053516289E-3</v>
      </c>
      <c r="J115" s="34">
        <f t="shared" si="36"/>
        <v>5.9432208747358739E-3</v>
      </c>
      <c r="K115" s="34">
        <f t="shared" si="36"/>
        <v>2.9668252353753963E-2</v>
      </c>
      <c r="L115" s="34">
        <f t="shared" si="36"/>
        <v>5.5480602812069124E-3</v>
      </c>
      <c r="M115" s="34">
        <f t="shared" si="36"/>
        <v>5.3604447161419442E-3</v>
      </c>
      <c r="N115" s="34">
        <f t="shared" si="36"/>
        <v>2.6759063800386524E-2</v>
      </c>
      <c r="O115" s="34">
        <f t="shared" si="36"/>
        <v>5.0040325012410515E-3</v>
      </c>
      <c r="P115" s="34">
        <f t="shared" si="36"/>
        <v>4.8348140108609196E-3</v>
      </c>
      <c r="Q115" s="34">
        <f t="shared" si="36"/>
        <v>2.4135142405263856E-2</v>
      </c>
      <c r="R115" s="34">
        <f t="shared" si="36"/>
        <v>4.5133506134200762E-3</v>
      </c>
      <c r="S115" s="34">
        <f t="shared" si="36"/>
        <v>4.3607252303575613E-3</v>
      </c>
      <c r="T115" s="34">
        <f t="shared" si="36"/>
        <v>2.1768515642686705E-2</v>
      </c>
      <c r="U115" s="34">
        <f t="shared" si="36"/>
        <v>4.0707836638965321E-3</v>
      </c>
      <c r="V115" s="182">
        <f>SUM(B115:U115)</f>
        <v>0.28619251170112797</v>
      </c>
      <c r="W115" s="133"/>
    </row>
    <row r="116" spans="1:23" ht="13.5" customHeight="1">
      <c r="A116" s="129"/>
      <c r="B116" s="128"/>
      <c r="C116" s="128"/>
      <c r="D116" s="128"/>
      <c r="E116" s="128"/>
      <c r="F116" s="128"/>
      <c r="G116" s="128"/>
      <c r="H116" s="128"/>
      <c r="I116" s="128"/>
      <c r="J116" s="128"/>
      <c r="K116" s="128"/>
      <c r="L116" s="128"/>
      <c r="M116" s="128"/>
      <c r="N116" s="128"/>
      <c r="O116" s="128"/>
      <c r="P116" s="128"/>
      <c r="Q116" s="128"/>
      <c r="R116" s="128"/>
      <c r="S116" s="128"/>
      <c r="T116" s="128"/>
      <c r="U116" s="128"/>
      <c r="V116" s="178"/>
      <c r="W116" s="130"/>
    </row>
    <row r="117" spans="1:23" s="81" customFormat="1" ht="12.75">
      <c r="A117" s="169" t="s">
        <v>1057</v>
      </c>
      <c r="B117" s="170"/>
      <c r="C117" s="170"/>
      <c r="D117" s="170"/>
      <c r="E117" s="170"/>
      <c r="F117" s="170"/>
      <c r="G117" s="170"/>
      <c r="H117" s="170"/>
      <c r="I117" s="170"/>
      <c r="J117" s="170"/>
      <c r="K117" s="170"/>
      <c r="L117" s="170"/>
      <c r="M117" s="170"/>
      <c r="N117" s="170"/>
      <c r="O117" s="170"/>
      <c r="P117" s="170"/>
      <c r="Q117" s="170"/>
      <c r="R117" s="170"/>
      <c r="S117" s="170"/>
      <c r="T117" s="170"/>
      <c r="U117" s="170"/>
      <c r="V117" s="186"/>
      <c r="W117" s="171"/>
    </row>
    <row r="118" spans="1:23" s="81" customFormat="1" ht="12.75">
      <c r="A118" s="172"/>
      <c r="B118" s="170"/>
      <c r="C118" s="170"/>
      <c r="D118" s="170"/>
      <c r="E118" s="170"/>
      <c r="F118" s="170"/>
      <c r="G118" s="170"/>
      <c r="H118" s="170"/>
      <c r="I118" s="170"/>
      <c r="J118" s="170"/>
      <c r="K118" s="170"/>
      <c r="L118" s="170"/>
      <c r="M118" s="170"/>
      <c r="N118" s="170"/>
      <c r="O118" s="170"/>
      <c r="P118" s="170"/>
      <c r="Q118" s="170"/>
      <c r="R118" s="170"/>
      <c r="S118" s="170"/>
      <c r="T118" s="170"/>
      <c r="U118" s="170"/>
      <c r="V118" s="186"/>
      <c r="W118" s="171"/>
    </row>
    <row r="119" spans="1:23" s="99" customFormat="1" ht="13.5" customHeight="1">
      <c r="A119" s="200" t="s">
        <v>679</v>
      </c>
      <c r="B119" s="52">
        <f t="shared" ref="B119:U119" si="37">B111+B93+B75+B31</f>
        <v>0.39487500000000009</v>
      </c>
      <c r="C119" s="52">
        <f t="shared" si="37"/>
        <v>0.23287499999999997</v>
      </c>
      <c r="D119" s="52">
        <f t="shared" si="37"/>
        <v>0.22612499999999999</v>
      </c>
      <c r="E119" s="52">
        <f t="shared" si="37"/>
        <v>0.40162500000000007</v>
      </c>
      <c r="F119" s="52">
        <f t="shared" si="37"/>
        <v>0.23287499999999997</v>
      </c>
      <c r="G119" s="52">
        <f t="shared" si="37"/>
        <v>0.22612499999999999</v>
      </c>
      <c r="H119" s="52">
        <f t="shared" si="37"/>
        <v>0.38812500000000005</v>
      </c>
      <c r="I119" s="52">
        <f t="shared" si="37"/>
        <v>0.22612499999999999</v>
      </c>
      <c r="J119" s="52">
        <f t="shared" si="37"/>
        <v>0.23962499999999998</v>
      </c>
      <c r="K119" s="52">
        <f t="shared" si="37"/>
        <v>0.39487500000000009</v>
      </c>
      <c r="L119" s="52">
        <f t="shared" si="37"/>
        <v>0.22612499999999999</v>
      </c>
      <c r="M119" s="52">
        <f t="shared" si="37"/>
        <v>0.22612499999999999</v>
      </c>
      <c r="N119" s="52">
        <f t="shared" si="37"/>
        <v>0.38812500000000005</v>
      </c>
      <c r="O119" s="52">
        <f t="shared" si="37"/>
        <v>0.23962499999999998</v>
      </c>
      <c r="P119" s="52">
        <f t="shared" si="37"/>
        <v>0.22612499999999999</v>
      </c>
      <c r="Q119" s="52">
        <f t="shared" si="37"/>
        <v>0.38812500000000005</v>
      </c>
      <c r="R119" s="52">
        <f t="shared" si="37"/>
        <v>0.22612499999999999</v>
      </c>
      <c r="S119" s="52">
        <f t="shared" si="37"/>
        <v>0.22612499999999999</v>
      </c>
      <c r="T119" s="52">
        <f t="shared" si="37"/>
        <v>0.40162500000000007</v>
      </c>
      <c r="U119" s="52">
        <f t="shared" si="37"/>
        <v>0.22612499999999999</v>
      </c>
      <c r="V119" s="180">
        <f t="shared" ref="V119:V120" si="38">SUM(B119:U119)</f>
        <v>5.737499999999998</v>
      </c>
      <c r="W119" s="133">
        <f t="shared" ref="W119:W120" si="39">V119/20</f>
        <v>0.28687499999999988</v>
      </c>
    </row>
    <row r="120" spans="1:23" s="99" customFormat="1" ht="13.5" customHeight="1">
      <c r="A120" s="200" t="s">
        <v>680</v>
      </c>
      <c r="B120" s="52">
        <f t="shared" ref="B120:U120" si="40">B112+B94+B76+B32</f>
        <v>3.9974999999999997E-2</v>
      </c>
      <c r="C120" s="52">
        <f t="shared" si="40"/>
        <v>3.9974999999999997E-2</v>
      </c>
      <c r="D120" s="52">
        <f t="shared" si="40"/>
        <v>3.9974999999999997E-2</v>
      </c>
      <c r="E120" s="52">
        <f t="shared" si="40"/>
        <v>3.9974999999999997E-2</v>
      </c>
      <c r="F120" s="52">
        <f t="shared" si="40"/>
        <v>3.9974999999999997E-2</v>
      </c>
      <c r="G120" s="52">
        <f t="shared" si="40"/>
        <v>3.9974999999999997E-2</v>
      </c>
      <c r="H120" s="52">
        <f t="shared" si="40"/>
        <v>3.9974999999999997E-2</v>
      </c>
      <c r="I120" s="52">
        <f t="shared" si="40"/>
        <v>3.9974999999999997E-2</v>
      </c>
      <c r="J120" s="52">
        <f t="shared" si="40"/>
        <v>3.9974999999999997E-2</v>
      </c>
      <c r="K120" s="52">
        <f t="shared" si="40"/>
        <v>3.9974999999999997E-2</v>
      </c>
      <c r="L120" s="52">
        <f t="shared" si="40"/>
        <v>3.9974999999999997E-2</v>
      </c>
      <c r="M120" s="52">
        <f t="shared" si="40"/>
        <v>3.9974999999999997E-2</v>
      </c>
      <c r="N120" s="52">
        <f t="shared" si="40"/>
        <v>3.9974999999999997E-2</v>
      </c>
      <c r="O120" s="52">
        <f t="shared" si="40"/>
        <v>3.9974999999999997E-2</v>
      </c>
      <c r="P120" s="52">
        <f t="shared" si="40"/>
        <v>3.9974999999999997E-2</v>
      </c>
      <c r="Q120" s="52">
        <f t="shared" si="40"/>
        <v>3.9974999999999997E-2</v>
      </c>
      <c r="R120" s="52">
        <f t="shared" si="40"/>
        <v>3.9974999999999997E-2</v>
      </c>
      <c r="S120" s="52">
        <f t="shared" si="40"/>
        <v>3.9974999999999997E-2</v>
      </c>
      <c r="T120" s="52">
        <f t="shared" si="40"/>
        <v>3.9974999999999997E-2</v>
      </c>
      <c r="U120" s="52">
        <f t="shared" si="40"/>
        <v>3.9974999999999997E-2</v>
      </c>
      <c r="V120" s="180">
        <f t="shared" si="38"/>
        <v>0.79949999999999977</v>
      </c>
      <c r="W120" s="133">
        <f t="shared" si="39"/>
        <v>3.997499999999999E-2</v>
      </c>
    </row>
    <row r="121" spans="1:23" s="3" customFormat="1" ht="13.5" customHeight="1">
      <c r="A121" s="49" t="s">
        <v>664</v>
      </c>
      <c r="B121" s="34">
        <f t="shared" ref="B121:U121" si="41">SUM(B119,B120)</f>
        <v>0.43485000000000007</v>
      </c>
      <c r="C121" s="34">
        <f t="shared" si="41"/>
        <v>0.27284999999999998</v>
      </c>
      <c r="D121" s="34">
        <f t="shared" si="41"/>
        <v>0.2661</v>
      </c>
      <c r="E121" s="34">
        <f t="shared" si="41"/>
        <v>0.44160000000000005</v>
      </c>
      <c r="F121" s="34">
        <f t="shared" si="41"/>
        <v>0.27284999999999998</v>
      </c>
      <c r="G121" s="34">
        <f t="shared" si="41"/>
        <v>0.2661</v>
      </c>
      <c r="H121" s="34">
        <f t="shared" si="41"/>
        <v>0.42810000000000004</v>
      </c>
      <c r="I121" s="34">
        <f t="shared" si="41"/>
        <v>0.2661</v>
      </c>
      <c r="J121" s="34">
        <f t="shared" si="41"/>
        <v>0.27959999999999996</v>
      </c>
      <c r="K121" s="34">
        <f t="shared" si="41"/>
        <v>0.43485000000000007</v>
      </c>
      <c r="L121" s="34">
        <f t="shared" si="41"/>
        <v>0.2661</v>
      </c>
      <c r="M121" s="34">
        <f t="shared" si="41"/>
        <v>0.2661</v>
      </c>
      <c r="N121" s="34">
        <f t="shared" si="41"/>
        <v>0.42810000000000004</v>
      </c>
      <c r="O121" s="34">
        <f t="shared" si="41"/>
        <v>0.27959999999999996</v>
      </c>
      <c r="P121" s="34">
        <f t="shared" si="41"/>
        <v>0.2661</v>
      </c>
      <c r="Q121" s="34">
        <f t="shared" si="41"/>
        <v>0.42810000000000004</v>
      </c>
      <c r="R121" s="34">
        <f t="shared" si="41"/>
        <v>0.2661</v>
      </c>
      <c r="S121" s="34">
        <f t="shared" si="41"/>
        <v>0.2661</v>
      </c>
      <c r="T121" s="34">
        <f t="shared" si="41"/>
        <v>0.44160000000000005</v>
      </c>
      <c r="U121" s="34">
        <f t="shared" si="41"/>
        <v>0.2661</v>
      </c>
      <c r="V121" s="182">
        <f>SUM(B121:U121)</f>
        <v>6.536999999999999</v>
      </c>
      <c r="W121" s="35">
        <f>V121/20</f>
        <v>0.32684999999999997</v>
      </c>
    </row>
    <row r="122" spans="1:23" ht="13.5" customHeight="1">
      <c r="A122" s="134" t="s">
        <v>123</v>
      </c>
      <c r="B122" s="52">
        <v>0.96618357487922713</v>
      </c>
      <c r="C122" s="52">
        <v>0.93351070036640305</v>
      </c>
      <c r="D122" s="52">
        <v>0.90194270566802237</v>
      </c>
      <c r="E122" s="52">
        <v>0.87144222769857238</v>
      </c>
      <c r="F122" s="52">
        <v>0.84197316685852419</v>
      </c>
      <c r="G122" s="52">
        <v>0.81350064430775282</v>
      </c>
      <c r="H122" s="52">
        <v>0.78599096068381913</v>
      </c>
      <c r="I122" s="52">
        <v>0.75941155621625056</v>
      </c>
      <c r="J122" s="52">
        <v>0.73373097218961414</v>
      </c>
      <c r="K122" s="52">
        <v>0.70891881370977217</v>
      </c>
      <c r="L122" s="52">
        <v>0.68494571372924851</v>
      </c>
      <c r="M122" s="52">
        <v>0.66178329828912896</v>
      </c>
      <c r="N122" s="52">
        <v>0.63940415293635666</v>
      </c>
      <c r="O122" s="52">
        <v>0.61778179027667302</v>
      </c>
      <c r="P122" s="52">
        <v>0.59689061862480497</v>
      </c>
      <c r="Q122" s="52">
        <v>0.57670591171478747</v>
      </c>
      <c r="R122" s="52">
        <v>0.55720377943457733</v>
      </c>
      <c r="S122" s="52">
        <v>0.53836113955031628</v>
      </c>
      <c r="T122" s="52">
        <v>0.52015569038677911</v>
      </c>
      <c r="U122" s="52">
        <v>0.50256588443167061</v>
      </c>
      <c r="V122" s="180"/>
      <c r="W122" s="133"/>
    </row>
    <row r="123" spans="1:23" s="81" customFormat="1" thickBot="1">
      <c r="A123" s="201" t="s">
        <v>1069</v>
      </c>
      <c r="B123" s="38">
        <f t="shared" ref="B123:U123" si="42">B122*B121</f>
        <v>0.420144927536232</v>
      </c>
      <c r="C123" s="38">
        <f t="shared" si="42"/>
        <v>0.25470839459497308</v>
      </c>
      <c r="D123" s="38">
        <f t="shared" si="42"/>
        <v>0.24000695397826075</v>
      </c>
      <c r="E123" s="38">
        <f t="shared" si="42"/>
        <v>0.38482888775168961</v>
      </c>
      <c r="F123" s="38">
        <f t="shared" si="42"/>
        <v>0.22973237857734832</v>
      </c>
      <c r="G123" s="38">
        <f t="shared" si="42"/>
        <v>0.21647252145029303</v>
      </c>
      <c r="H123" s="38">
        <f t="shared" si="42"/>
        <v>0.33648273026874298</v>
      </c>
      <c r="I123" s="38">
        <f t="shared" si="42"/>
        <v>0.20207941510914429</v>
      </c>
      <c r="J123" s="38">
        <f t="shared" si="42"/>
        <v>0.20515117982421607</v>
      </c>
      <c r="K123" s="38">
        <f t="shared" si="42"/>
        <v>0.30827334614169449</v>
      </c>
      <c r="L123" s="38">
        <f t="shared" si="42"/>
        <v>0.18226405442335303</v>
      </c>
      <c r="M123" s="38">
        <f t="shared" si="42"/>
        <v>0.17610053567473721</v>
      </c>
      <c r="N123" s="38">
        <f t="shared" si="42"/>
        <v>0.27372891787205433</v>
      </c>
      <c r="O123" s="38">
        <f t="shared" si="42"/>
        <v>0.17273178856135776</v>
      </c>
      <c r="P123" s="38">
        <f t="shared" si="42"/>
        <v>0.15883259361606061</v>
      </c>
      <c r="Q123" s="38">
        <f t="shared" si="42"/>
        <v>0.24688780080510053</v>
      </c>
      <c r="R123" s="38">
        <f t="shared" si="42"/>
        <v>0.14827192570754102</v>
      </c>
      <c r="S123" s="38">
        <f t="shared" si="42"/>
        <v>0.14325789923433915</v>
      </c>
      <c r="T123" s="38">
        <f t="shared" si="42"/>
        <v>0.22970075287480168</v>
      </c>
      <c r="U123" s="38">
        <f t="shared" si="42"/>
        <v>0.13373278184726756</v>
      </c>
      <c r="V123" s="183">
        <f>SUM(B123:U123)</f>
        <v>4.6633897858492066</v>
      </c>
      <c r="W123" s="39"/>
    </row>
    <row r="124" spans="1:23" ht="13.5" customHeight="1">
      <c r="A124" s="12" t="s">
        <v>640</v>
      </c>
      <c r="V124" s="100"/>
    </row>
    <row r="125" spans="1:23" ht="13.5" customHeight="1">
      <c r="A125" s="12"/>
      <c r="V125" s="100"/>
    </row>
    <row r="126" spans="1:23" ht="13.5" customHeight="1">
      <c r="V126" s="100"/>
    </row>
    <row r="127" spans="1:23" ht="20.25" customHeight="1" thickBot="1">
      <c r="A127" s="409" t="s">
        <v>1323</v>
      </c>
      <c r="B127" s="409"/>
      <c r="C127" s="409"/>
      <c r="D127" s="409"/>
      <c r="E127" s="409"/>
      <c r="F127" s="409"/>
      <c r="G127" s="409"/>
      <c r="H127" s="409"/>
      <c r="I127" s="409"/>
      <c r="J127" s="409"/>
      <c r="K127" s="409"/>
      <c r="L127" s="409"/>
      <c r="M127" s="409"/>
      <c r="N127" s="409"/>
      <c r="O127" s="409"/>
      <c r="P127" s="409"/>
      <c r="Q127" s="409"/>
      <c r="R127" s="409"/>
      <c r="S127" s="409"/>
      <c r="T127" s="409"/>
      <c r="U127" s="409"/>
      <c r="V127" s="409"/>
      <c r="W127" s="409"/>
    </row>
    <row r="128" spans="1:23" ht="12.75">
      <c r="A128" s="142" t="s">
        <v>14</v>
      </c>
      <c r="B128" s="143">
        <v>2013</v>
      </c>
      <c r="C128" s="143">
        <v>2014</v>
      </c>
      <c r="D128" s="143">
        <v>2015</v>
      </c>
      <c r="E128" s="143">
        <v>2016</v>
      </c>
      <c r="F128" s="143">
        <v>2017</v>
      </c>
      <c r="G128" s="143">
        <v>2018</v>
      </c>
      <c r="H128" s="143">
        <v>2019</v>
      </c>
      <c r="I128" s="143">
        <v>2020</v>
      </c>
      <c r="J128" s="143">
        <v>2021</v>
      </c>
      <c r="K128" s="143">
        <v>2022</v>
      </c>
      <c r="L128" s="143">
        <v>2023</v>
      </c>
      <c r="M128" s="143">
        <v>2024</v>
      </c>
      <c r="N128" s="143">
        <v>2025</v>
      </c>
      <c r="O128" s="143">
        <v>2026</v>
      </c>
      <c r="P128" s="143">
        <v>2027</v>
      </c>
      <c r="Q128" s="143">
        <v>2028</v>
      </c>
      <c r="R128" s="143">
        <v>2029</v>
      </c>
      <c r="S128" s="143">
        <v>2030</v>
      </c>
      <c r="T128" s="143">
        <v>2031</v>
      </c>
      <c r="U128" s="143">
        <v>2032</v>
      </c>
      <c r="V128" s="406" t="s">
        <v>15</v>
      </c>
      <c r="W128" s="404" t="s">
        <v>1055</v>
      </c>
    </row>
    <row r="129" spans="1:23" ht="19.5" customHeight="1" thickBot="1">
      <c r="A129" s="144" t="s">
        <v>16</v>
      </c>
      <c r="B129" s="145">
        <v>1</v>
      </c>
      <c r="C129" s="145">
        <v>2</v>
      </c>
      <c r="D129" s="145">
        <v>3</v>
      </c>
      <c r="E129" s="145">
        <v>4</v>
      </c>
      <c r="F129" s="145">
        <v>5</v>
      </c>
      <c r="G129" s="145">
        <v>6</v>
      </c>
      <c r="H129" s="145">
        <v>7</v>
      </c>
      <c r="I129" s="145">
        <v>8</v>
      </c>
      <c r="J129" s="145">
        <v>9</v>
      </c>
      <c r="K129" s="145">
        <v>10</v>
      </c>
      <c r="L129" s="145">
        <v>11</v>
      </c>
      <c r="M129" s="145">
        <v>12</v>
      </c>
      <c r="N129" s="145">
        <v>13</v>
      </c>
      <c r="O129" s="145">
        <v>14</v>
      </c>
      <c r="P129" s="145">
        <v>15</v>
      </c>
      <c r="Q129" s="145">
        <v>16</v>
      </c>
      <c r="R129" s="145">
        <v>17</v>
      </c>
      <c r="S129" s="145">
        <v>18</v>
      </c>
      <c r="T129" s="145">
        <v>19</v>
      </c>
      <c r="U129" s="145">
        <v>20</v>
      </c>
      <c r="V129" s="407"/>
      <c r="W129" s="405"/>
    </row>
    <row r="130" spans="1:23" thickBot="1">
      <c r="A130" s="147" t="s">
        <v>1054</v>
      </c>
      <c r="B130" s="141"/>
      <c r="C130" s="141"/>
      <c r="D130" s="141"/>
      <c r="E130" s="141"/>
      <c r="F130" s="141"/>
      <c r="G130" s="141"/>
      <c r="H130" s="141"/>
      <c r="I130" s="141"/>
      <c r="J130" s="141"/>
      <c r="K130" s="141"/>
      <c r="L130" s="141"/>
      <c r="M130" s="141"/>
      <c r="N130" s="141"/>
      <c r="O130" s="141"/>
      <c r="P130" s="141"/>
      <c r="Q130" s="141"/>
      <c r="R130" s="141"/>
      <c r="S130" s="141"/>
      <c r="T130" s="141"/>
      <c r="U130" s="141"/>
      <c r="V130" s="185"/>
      <c r="W130" s="163"/>
    </row>
    <row r="131" spans="1:23" ht="12.75">
      <c r="A131" s="143"/>
      <c r="B131" s="128"/>
      <c r="C131" s="128"/>
      <c r="D131" s="128"/>
      <c r="E131" s="128"/>
      <c r="F131" s="128"/>
      <c r="G131" s="128"/>
      <c r="H131" s="128"/>
      <c r="I131" s="128"/>
      <c r="J131" s="128"/>
      <c r="K131" s="128"/>
      <c r="L131" s="128"/>
      <c r="M131" s="128"/>
      <c r="N131" s="128"/>
      <c r="O131" s="128"/>
      <c r="P131" s="128"/>
      <c r="Q131" s="128"/>
      <c r="R131" s="128"/>
      <c r="S131" s="128"/>
      <c r="T131" s="128"/>
      <c r="U131" s="128"/>
      <c r="V131" s="178"/>
      <c r="W131" s="130"/>
    </row>
    <row r="132" spans="1:23" ht="12.75">
      <c r="A132" s="158" t="s">
        <v>1053</v>
      </c>
      <c r="B132" s="81"/>
      <c r="C132" s="81"/>
      <c r="D132" s="81"/>
      <c r="E132" s="81"/>
      <c r="F132" s="81"/>
      <c r="G132" s="81"/>
      <c r="H132" s="81"/>
      <c r="I132" s="81"/>
      <c r="J132" s="81"/>
      <c r="K132" s="81"/>
      <c r="L132" s="81"/>
      <c r="M132" s="81"/>
      <c r="N132" s="81"/>
      <c r="O132" s="81"/>
      <c r="P132" s="81"/>
      <c r="Q132" s="81"/>
      <c r="R132" s="81"/>
      <c r="S132" s="81"/>
      <c r="T132" s="81"/>
      <c r="U132" s="81"/>
      <c r="V132" s="179"/>
      <c r="W132" s="140"/>
    </row>
    <row r="133" spans="1:23" ht="12.75">
      <c r="A133" s="13"/>
      <c r="B133" s="81"/>
      <c r="C133" s="81"/>
      <c r="D133" s="81"/>
      <c r="E133" s="81"/>
      <c r="F133" s="81"/>
      <c r="G133" s="81"/>
      <c r="H133" s="81"/>
      <c r="I133" s="81"/>
      <c r="J133" s="81"/>
      <c r="K133" s="81"/>
      <c r="L133" s="81"/>
      <c r="M133" s="81"/>
      <c r="N133" s="81"/>
      <c r="O133" s="81"/>
      <c r="P133" s="81"/>
      <c r="Q133" s="81"/>
      <c r="R133" s="81"/>
      <c r="S133" s="81"/>
      <c r="T133" s="81"/>
      <c r="U133" s="81"/>
      <c r="V133" s="179"/>
      <c r="W133" s="140"/>
    </row>
    <row r="134" spans="1:23" s="99" customFormat="1" ht="12.75">
      <c r="A134" s="100" t="s">
        <v>1090</v>
      </c>
      <c r="B134" s="100"/>
      <c r="C134" s="100"/>
      <c r="D134" s="100"/>
      <c r="E134" s="100"/>
      <c r="F134" s="100"/>
      <c r="G134" s="100"/>
      <c r="H134" s="100"/>
      <c r="I134" s="100"/>
      <c r="J134" s="100"/>
      <c r="K134" s="100"/>
      <c r="L134" s="100"/>
      <c r="M134" s="100"/>
      <c r="N134" s="100"/>
      <c r="O134" s="100"/>
      <c r="P134" s="100"/>
      <c r="Q134" s="100"/>
      <c r="R134" s="100"/>
      <c r="S134" s="100"/>
      <c r="T134" s="100"/>
      <c r="U134" s="100"/>
      <c r="V134" s="179"/>
      <c r="W134" s="132"/>
    </row>
    <row r="135" spans="1:23" s="99" customFormat="1" ht="12.75">
      <c r="A135" s="200" t="s">
        <v>679</v>
      </c>
      <c r="B135" s="52">
        <f t="shared" ref="B135:U135" si="43">B15</f>
        <v>0</v>
      </c>
      <c r="C135" s="52">
        <f t="shared" si="43"/>
        <v>0</v>
      </c>
      <c r="D135" s="52">
        <f t="shared" si="43"/>
        <v>0</v>
      </c>
      <c r="E135" s="52">
        <f t="shared" si="43"/>
        <v>1.35E-2</v>
      </c>
      <c r="F135" s="52">
        <f t="shared" si="43"/>
        <v>0</v>
      </c>
      <c r="G135" s="52">
        <f t="shared" si="43"/>
        <v>0</v>
      </c>
      <c r="H135" s="52">
        <f t="shared" si="43"/>
        <v>0</v>
      </c>
      <c r="I135" s="52">
        <f t="shared" si="43"/>
        <v>0</v>
      </c>
      <c r="J135" s="52">
        <f t="shared" si="43"/>
        <v>1.35E-2</v>
      </c>
      <c r="K135" s="52">
        <f t="shared" si="43"/>
        <v>0</v>
      </c>
      <c r="L135" s="52">
        <f t="shared" si="43"/>
        <v>0</v>
      </c>
      <c r="M135" s="52">
        <f t="shared" si="43"/>
        <v>0</v>
      </c>
      <c r="N135" s="52">
        <f t="shared" si="43"/>
        <v>0</v>
      </c>
      <c r="O135" s="52">
        <f t="shared" si="43"/>
        <v>1.35E-2</v>
      </c>
      <c r="P135" s="52">
        <f t="shared" si="43"/>
        <v>0</v>
      </c>
      <c r="Q135" s="52">
        <f t="shared" si="43"/>
        <v>0</v>
      </c>
      <c r="R135" s="52">
        <f t="shared" si="43"/>
        <v>0</v>
      </c>
      <c r="S135" s="52">
        <f t="shared" si="43"/>
        <v>0</v>
      </c>
      <c r="T135" s="52">
        <f t="shared" si="43"/>
        <v>1.35E-2</v>
      </c>
      <c r="U135" s="52">
        <f t="shared" si="43"/>
        <v>0</v>
      </c>
      <c r="V135" s="180">
        <f>SUM(B135:U135)</f>
        <v>5.3999999999999999E-2</v>
      </c>
      <c r="W135" s="133">
        <f>V135/20</f>
        <v>2.7000000000000001E-3</v>
      </c>
    </row>
    <row r="136" spans="1:23" s="99" customFormat="1" ht="12.75">
      <c r="A136" s="200" t="s">
        <v>680</v>
      </c>
      <c r="B136" s="52">
        <v>0</v>
      </c>
      <c r="C136" s="52">
        <v>0</v>
      </c>
      <c r="D136" s="52">
        <v>0</v>
      </c>
      <c r="E136" s="52">
        <v>0</v>
      </c>
      <c r="F136" s="52">
        <v>0</v>
      </c>
      <c r="G136" s="52">
        <v>0</v>
      </c>
      <c r="H136" s="52">
        <v>0</v>
      </c>
      <c r="I136" s="52">
        <v>0</v>
      </c>
      <c r="J136" s="52">
        <v>0</v>
      </c>
      <c r="K136" s="52">
        <v>0</v>
      </c>
      <c r="L136" s="52">
        <v>0</v>
      </c>
      <c r="M136" s="52">
        <v>0</v>
      </c>
      <c r="N136" s="52">
        <v>0</v>
      </c>
      <c r="O136" s="52">
        <v>0</v>
      </c>
      <c r="P136" s="52">
        <v>0</v>
      </c>
      <c r="Q136" s="52">
        <v>0</v>
      </c>
      <c r="R136" s="52">
        <v>0</v>
      </c>
      <c r="S136" s="52">
        <v>0</v>
      </c>
      <c r="T136" s="52">
        <v>0</v>
      </c>
      <c r="U136" s="52">
        <v>0</v>
      </c>
      <c r="V136" s="180">
        <f t="shared" ref="V136:V137" si="44">SUM(B136:U136)</f>
        <v>0</v>
      </c>
      <c r="W136" s="133">
        <f t="shared" ref="W136:W137" si="45">V136/20</f>
        <v>0</v>
      </c>
    </row>
    <row r="137" spans="1:23" s="99" customFormat="1" ht="12.75">
      <c r="A137" s="49" t="s">
        <v>664</v>
      </c>
      <c r="B137" s="34">
        <f>SUM(B135:B136)</f>
        <v>0</v>
      </c>
      <c r="C137" s="34">
        <f t="shared" ref="C137" si="46">SUM(C135:C136)</f>
        <v>0</v>
      </c>
      <c r="D137" s="34">
        <f t="shared" ref="D137" si="47">SUM(D135:D136)</f>
        <v>0</v>
      </c>
      <c r="E137" s="34">
        <f t="shared" ref="E137" si="48">SUM(E135:E136)</f>
        <v>1.35E-2</v>
      </c>
      <c r="F137" s="34">
        <f t="shared" ref="F137" si="49">SUM(F135:F136)</f>
        <v>0</v>
      </c>
      <c r="G137" s="34">
        <f t="shared" ref="G137" si="50">SUM(G135:G136)</f>
        <v>0</v>
      </c>
      <c r="H137" s="34">
        <f t="shared" ref="H137" si="51">SUM(H135:H136)</f>
        <v>0</v>
      </c>
      <c r="I137" s="34">
        <f t="shared" ref="I137" si="52">SUM(I135:I136)</f>
        <v>0</v>
      </c>
      <c r="J137" s="34">
        <f t="shared" ref="J137" si="53">SUM(J135:J136)</f>
        <v>1.35E-2</v>
      </c>
      <c r="K137" s="34">
        <f t="shared" ref="K137" si="54">SUM(K135:K136)</f>
        <v>0</v>
      </c>
      <c r="L137" s="34">
        <f t="shared" ref="L137" si="55">SUM(L135:L136)</f>
        <v>0</v>
      </c>
      <c r="M137" s="34">
        <f t="shared" ref="M137" si="56">SUM(M135:M136)</f>
        <v>0</v>
      </c>
      <c r="N137" s="34">
        <f t="shared" ref="N137" si="57">SUM(N135:N136)</f>
        <v>0</v>
      </c>
      <c r="O137" s="34">
        <f t="shared" ref="O137" si="58">SUM(O135:O136)</f>
        <v>1.35E-2</v>
      </c>
      <c r="P137" s="34">
        <f t="shared" ref="P137" si="59">SUM(P135:P136)</f>
        <v>0</v>
      </c>
      <c r="Q137" s="34">
        <f t="shared" ref="Q137" si="60">SUM(Q135:Q136)</f>
        <v>0</v>
      </c>
      <c r="R137" s="34">
        <f t="shared" ref="R137" si="61">SUM(R135:R136)</f>
        <v>0</v>
      </c>
      <c r="S137" s="34">
        <f t="shared" ref="S137" si="62">SUM(S135:S136)</f>
        <v>0</v>
      </c>
      <c r="T137" s="34">
        <f t="shared" ref="T137" si="63">SUM(T135:T136)</f>
        <v>1.35E-2</v>
      </c>
      <c r="U137" s="34">
        <f t="shared" ref="U137" si="64">SUM(U135:U136)</f>
        <v>0</v>
      </c>
      <c r="V137" s="180">
        <f t="shared" si="44"/>
        <v>5.3999999999999999E-2</v>
      </c>
      <c r="W137" s="133">
        <f t="shared" si="45"/>
        <v>2.7000000000000001E-3</v>
      </c>
    </row>
    <row r="138" spans="1:23" s="99" customFormat="1" ht="12.75">
      <c r="A138" s="134" t="s">
        <v>123</v>
      </c>
      <c r="B138" s="52">
        <v>0.96618357487922713</v>
      </c>
      <c r="C138" s="52">
        <v>0.93351070036640305</v>
      </c>
      <c r="D138" s="52">
        <v>0.90194270566802237</v>
      </c>
      <c r="E138" s="52">
        <v>0.87144222769857238</v>
      </c>
      <c r="F138" s="52">
        <v>0.84197316685852419</v>
      </c>
      <c r="G138" s="52">
        <v>0.81350064430775282</v>
      </c>
      <c r="H138" s="52">
        <v>0.78599096068381913</v>
      </c>
      <c r="I138" s="52">
        <v>0.75941155621625056</v>
      </c>
      <c r="J138" s="52">
        <v>0.73373097218961414</v>
      </c>
      <c r="K138" s="52">
        <v>0.70891881370977217</v>
      </c>
      <c r="L138" s="52">
        <v>0.68494571372924851</v>
      </c>
      <c r="M138" s="52">
        <v>0.66178329828912896</v>
      </c>
      <c r="N138" s="52">
        <v>0.63940415293635666</v>
      </c>
      <c r="O138" s="52">
        <v>0.61778179027667302</v>
      </c>
      <c r="P138" s="52">
        <v>0.59689061862480497</v>
      </c>
      <c r="Q138" s="52">
        <v>0.57670591171478747</v>
      </c>
      <c r="R138" s="52">
        <v>0.55720377943457733</v>
      </c>
      <c r="S138" s="52">
        <v>0.53836113955031628</v>
      </c>
      <c r="T138" s="52">
        <v>0.52015569038677911</v>
      </c>
      <c r="U138" s="52">
        <v>0.50256588443167061</v>
      </c>
      <c r="V138" s="180"/>
      <c r="W138" s="133"/>
    </row>
    <row r="139" spans="1:23" s="99" customFormat="1" ht="12.75">
      <c r="A139" s="50" t="s">
        <v>1069</v>
      </c>
      <c r="B139" s="34">
        <f t="shared" ref="B139:U139" si="65">B138*B137</f>
        <v>0</v>
      </c>
      <c r="C139" s="34">
        <f t="shared" si="65"/>
        <v>0</v>
      </c>
      <c r="D139" s="34">
        <f t="shared" si="65"/>
        <v>0</v>
      </c>
      <c r="E139" s="34">
        <f t="shared" si="65"/>
        <v>1.1764470073930727E-2</v>
      </c>
      <c r="F139" s="34">
        <f t="shared" si="65"/>
        <v>0</v>
      </c>
      <c r="G139" s="34">
        <f t="shared" si="65"/>
        <v>0</v>
      </c>
      <c r="H139" s="34">
        <f t="shared" si="65"/>
        <v>0</v>
      </c>
      <c r="I139" s="34">
        <f t="shared" si="65"/>
        <v>0</v>
      </c>
      <c r="J139" s="34">
        <f t="shared" si="65"/>
        <v>9.9053681245597908E-3</v>
      </c>
      <c r="K139" s="34">
        <f t="shared" si="65"/>
        <v>0</v>
      </c>
      <c r="L139" s="34">
        <f t="shared" si="65"/>
        <v>0</v>
      </c>
      <c r="M139" s="34">
        <f t="shared" si="65"/>
        <v>0</v>
      </c>
      <c r="N139" s="34">
        <f t="shared" si="65"/>
        <v>0</v>
      </c>
      <c r="O139" s="34">
        <f t="shared" si="65"/>
        <v>8.3400541687350862E-3</v>
      </c>
      <c r="P139" s="34">
        <f t="shared" si="65"/>
        <v>0</v>
      </c>
      <c r="Q139" s="34">
        <f t="shared" si="65"/>
        <v>0</v>
      </c>
      <c r="R139" s="34">
        <f t="shared" si="65"/>
        <v>0</v>
      </c>
      <c r="S139" s="34">
        <f t="shared" si="65"/>
        <v>0</v>
      </c>
      <c r="T139" s="34">
        <f t="shared" si="65"/>
        <v>7.0221018202215177E-3</v>
      </c>
      <c r="U139" s="34">
        <f t="shared" si="65"/>
        <v>0</v>
      </c>
      <c r="V139" s="182">
        <f>SUM(B139:U139)</f>
        <v>3.7031994187447126E-2</v>
      </c>
      <c r="W139" s="35"/>
    </row>
    <row r="140" spans="1:23" s="99" customFormat="1" ht="12.75">
      <c r="A140" s="49"/>
      <c r="B140" s="100"/>
      <c r="C140" s="100"/>
      <c r="D140" s="100"/>
      <c r="E140" s="100"/>
      <c r="F140" s="100"/>
      <c r="G140" s="100"/>
      <c r="H140" s="100"/>
      <c r="I140" s="100"/>
      <c r="J140" s="100"/>
      <c r="K140" s="100"/>
      <c r="L140" s="100"/>
      <c r="M140" s="100"/>
      <c r="N140" s="100"/>
      <c r="O140" s="100"/>
      <c r="P140" s="100"/>
      <c r="Q140" s="100"/>
      <c r="R140" s="100"/>
      <c r="S140" s="100"/>
      <c r="T140" s="100"/>
      <c r="U140" s="100"/>
      <c r="V140" s="179"/>
      <c r="W140" s="132"/>
    </row>
    <row r="141" spans="1:23" s="99" customFormat="1" ht="15.75" customHeight="1">
      <c r="A141" s="135" t="s">
        <v>1091</v>
      </c>
      <c r="B141" s="100"/>
      <c r="C141" s="100"/>
      <c r="D141" s="100"/>
      <c r="E141" s="100"/>
      <c r="F141" s="100"/>
      <c r="G141" s="100"/>
      <c r="H141" s="100"/>
      <c r="I141" s="100"/>
      <c r="J141" s="100"/>
      <c r="K141" s="100"/>
      <c r="L141" s="100"/>
      <c r="M141" s="100"/>
      <c r="N141" s="100"/>
      <c r="O141" s="100"/>
      <c r="P141" s="100"/>
      <c r="Q141" s="100"/>
      <c r="R141" s="100"/>
      <c r="S141" s="100"/>
      <c r="T141" s="100"/>
      <c r="U141" s="100"/>
      <c r="V141" s="179"/>
      <c r="W141" s="132"/>
    </row>
    <row r="142" spans="1:23" s="99" customFormat="1" ht="12.75">
      <c r="A142" s="200" t="s">
        <v>679</v>
      </c>
      <c r="B142" s="52">
        <f t="shared" ref="B142:U142" si="66">B20</f>
        <v>0</v>
      </c>
      <c r="C142" s="52">
        <f t="shared" si="66"/>
        <v>6.7499999999999999E-3</v>
      </c>
      <c r="D142" s="52">
        <f t="shared" si="66"/>
        <v>0</v>
      </c>
      <c r="E142" s="52">
        <f t="shared" si="66"/>
        <v>0</v>
      </c>
      <c r="F142" s="52">
        <f t="shared" si="66"/>
        <v>6.7499999999999999E-3</v>
      </c>
      <c r="G142" s="52">
        <f t="shared" si="66"/>
        <v>0</v>
      </c>
      <c r="H142" s="52">
        <f t="shared" si="66"/>
        <v>0</v>
      </c>
      <c r="I142" s="52">
        <f t="shared" si="66"/>
        <v>0</v>
      </c>
      <c r="J142" s="52">
        <f t="shared" si="66"/>
        <v>0</v>
      </c>
      <c r="K142" s="52">
        <f t="shared" si="66"/>
        <v>0</v>
      </c>
      <c r="L142" s="52">
        <f t="shared" si="66"/>
        <v>0</v>
      </c>
      <c r="M142" s="52">
        <f t="shared" si="66"/>
        <v>0</v>
      </c>
      <c r="N142" s="52">
        <f t="shared" si="66"/>
        <v>0</v>
      </c>
      <c r="O142" s="52">
        <f t="shared" si="66"/>
        <v>0</v>
      </c>
      <c r="P142" s="52">
        <f t="shared" si="66"/>
        <v>0</v>
      </c>
      <c r="Q142" s="52">
        <f t="shared" si="66"/>
        <v>0</v>
      </c>
      <c r="R142" s="52">
        <f t="shared" si="66"/>
        <v>0</v>
      </c>
      <c r="S142" s="52">
        <f t="shared" si="66"/>
        <v>0</v>
      </c>
      <c r="T142" s="52">
        <f t="shared" si="66"/>
        <v>0</v>
      </c>
      <c r="U142" s="52">
        <f t="shared" si="66"/>
        <v>0</v>
      </c>
      <c r="V142" s="180">
        <f>SUM(B142:U142)</f>
        <v>1.35E-2</v>
      </c>
      <c r="W142" s="133">
        <f>V142/20</f>
        <v>6.7500000000000004E-4</v>
      </c>
    </row>
    <row r="143" spans="1:23" s="99" customFormat="1" ht="12.75">
      <c r="A143" s="200" t="s">
        <v>680</v>
      </c>
      <c r="B143" s="52">
        <v>0</v>
      </c>
      <c r="C143" s="52">
        <v>0</v>
      </c>
      <c r="D143" s="52">
        <v>0</v>
      </c>
      <c r="E143" s="52">
        <v>0</v>
      </c>
      <c r="F143" s="52">
        <v>0</v>
      </c>
      <c r="G143" s="52">
        <v>0</v>
      </c>
      <c r="H143" s="52">
        <v>0</v>
      </c>
      <c r="I143" s="52">
        <v>0</v>
      </c>
      <c r="J143" s="52">
        <v>0</v>
      </c>
      <c r="K143" s="52">
        <v>0</v>
      </c>
      <c r="L143" s="52">
        <v>0</v>
      </c>
      <c r="M143" s="52">
        <v>0</v>
      </c>
      <c r="N143" s="52">
        <v>0</v>
      </c>
      <c r="O143" s="52">
        <v>0</v>
      </c>
      <c r="P143" s="52">
        <v>0</v>
      </c>
      <c r="Q143" s="52">
        <v>0</v>
      </c>
      <c r="R143" s="52">
        <v>0</v>
      </c>
      <c r="S143" s="52">
        <v>0</v>
      </c>
      <c r="T143" s="52">
        <v>0</v>
      </c>
      <c r="U143" s="52">
        <v>0</v>
      </c>
      <c r="V143" s="180">
        <f t="shared" ref="V143:V144" si="67">SUM(B143:U143)</f>
        <v>0</v>
      </c>
      <c r="W143" s="133">
        <f t="shared" ref="W143:W144" si="68">V143/20</f>
        <v>0</v>
      </c>
    </row>
    <row r="144" spans="1:23" s="20" customFormat="1" ht="12.75">
      <c r="A144" s="49" t="s">
        <v>664</v>
      </c>
      <c r="B144" s="34">
        <f>SUM(B142:B143)</f>
        <v>0</v>
      </c>
      <c r="C144" s="34">
        <f t="shared" ref="C144:U144" si="69">SUM(C142:C143)</f>
        <v>6.7499999999999999E-3</v>
      </c>
      <c r="D144" s="34">
        <f t="shared" si="69"/>
        <v>0</v>
      </c>
      <c r="E144" s="34">
        <f t="shared" si="69"/>
        <v>0</v>
      </c>
      <c r="F144" s="34">
        <f t="shared" si="69"/>
        <v>6.7499999999999999E-3</v>
      </c>
      <c r="G144" s="34">
        <f t="shared" si="69"/>
        <v>0</v>
      </c>
      <c r="H144" s="34">
        <f t="shared" si="69"/>
        <v>0</v>
      </c>
      <c r="I144" s="34">
        <f t="shared" si="69"/>
        <v>0</v>
      </c>
      <c r="J144" s="34">
        <f t="shared" si="69"/>
        <v>0</v>
      </c>
      <c r="K144" s="34">
        <f t="shared" si="69"/>
        <v>0</v>
      </c>
      <c r="L144" s="34">
        <f t="shared" si="69"/>
        <v>0</v>
      </c>
      <c r="M144" s="34">
        <f t="shared" si="69"/>
        <v>0</v>
      </c>
      <c r="N144" s="34">
        <f t="shared" si="69"/>
        <v>0</v>
      </c>
      <c r="O144" s="34">
        <f t="shared" si="69"/>
        <v>0</v>
      </c>
      <c r="P144" s="34">
        <f t="shared" si="69"/>
        <v>0</v>
      </c>
      <c r="Q144" s="34">
        <f t="shared" si="69"/>
        <v>0</v>
      </c>
      <c r="R144" s="34">
        <f t="shared" si="69"/>
        <v>0</v>
      </c>
      <c r="S144" s="34">
        <f t="shared" si="69"/>
        <v>0</v>
      </c>
      <c r="T144" s="34">
        <f t="shared" si="69"/>
        <v>0</v>
      </c>
      <c r="U144" s="34">
        <f t="shared" si="69"/>
        <v>0</v>
      </c>
      <c r="V144" s="180">
        <f t="shared" si="67"/>
        <v>1.35E-2</v>
      </c>
      <c r="W144" s="133">
        <f t="shared" si="68"/>
        <v>6.7500000000000004E-4</v>
      </c>
    </row>
    <row r="145" spans="1:23" s="99" customFormat="1" ht="13.5" customHeight="1">
      <c r="A145" s="134" t="s">
        <v>123</v>
      </c>
      <c r="B145" s="52">
        <v>0.96618357487922713</v>
      </c>
      <c r="C145" s="52">
        <v>0.93351070036640305</v>
      </c>
      <c r="D145" s="52">
        <v>0.90194270566802237</v>
      </c>
      <c r="E145" s="52">
        <v>0.87144222769857238</v>
      </c>
      <c r="F145" s="52">
        <v>0.84197316685852419</v>
      </c>
      <c r="G145" s="52">
        <v>0.81350064430775282</v>
      </c>
      <c r="H145" s="52">
        <v>0.78599096068381913</v>
      </c>
      <c r="I145" s="52">
        <v>0.75941155621625056</v>
      </c>
      <c r="J145" s="52">
        <v>0.73373097218961414</v>
      </c>
      <c r="K145" s="52">
        <v>0.70891881370977217</v>
      </c>
      <c r="L145" s="52">
        <v>0.68494571372924851</v>
      </c>
      <c r="M145" s="52">
        <v>0.66178329828912896</v>
      </c>
      <c r="N145" s="52">
        <v>0.63940415293635666</v>
      </c>
      <c r="O145" s="52">
        <v>0.61778179027667302</v>
      </c>
      <c r="P145" s="52">
        <v>0.59689061862480497</v>
      </c>
      <c r="Q145" s="52">
        <v>0.57670591171478747</v>
      </c>
      <c r="R145" s="52">
        <v>0.55720377943457733</v>
      </c>
      <c r="S145" s="52">
        <v>0.53836113955031628</v>
      </c>
      <c r="T145" s="52">
        <v>0.52015569038677911</v>
      </c>
      <c r="U145" s="52">
        <v>0.50256588443167061</v>
      </c>
      <c r="V145" s="180"/>
      <c r="W145" s="133"/>
    </row>
    <row r="146" spans="1:23" s="100" customFormat="1" ht="12.75">
      <c r="A146" s="50" t="s">
        <v>1069</v>
      </c>
      <c r="B146" s="34">
        <f t="shared" ref="B146:U146" si="70">B145*B144</f>
        <v>0</v>
      </c>
      <c r="C146" s="34">
        <f t="shared" si="70"/>
        <v>6.3011972274732205E-3</v>
      </c>
      <c r="D146" s="34">
        <f t="shared" si="70"/>
        <v>0</v>
      </c>
      <c r="E146" s="34">
        <f t="shared" si="70"/>
        <v>0</v>
      </c>
      <c r="F146" s="34">
        <f t="shared" si="70"/>
        <v>5.683318876295038E-3</v>
      </c>
      <c r="G146" s="34">
        <f t="shared" si="70"/>
        <v>0</v>
      </c>
      <c r="H146" s="34">
        <f t="shared" si="70"/>
        <v>0</v>
      </c>
      <c r="I146" s="34">
        <f t="shared" si="70"/>
        <v>0</v>
      </c>
      <c r="J146" s="34">
        <f t="shared" si="70"/>
        <v>0</v>
      </c>
      <c r="K146" s="34">
        <f t="shared" si="70"/>
        <v>0</v>
      </c>
      <c r="L146" s="34">
        <f t="shared" si="70"/>
        <v>0</v>
      </c>
      <c r="M146" s="34">
        <f t="shared" si="70"/>
        <v>0</v>
      </c>
      <c r="N146" s="34">
        <f t="shared" si="70"/>
        <v>0</v>
      </c>
      <c r="O146" s="34">
        <f t="shared" si="70"/>
        <v>0</v>
      </c>
      <c r="P146" s="34">
        <f t="shared" si="70"/>
        <v>0</v>
      </c>
      <c r="Q146" s="34">
        <f t="shared" si="70"/>
        <v>0</v>
      </c>
      <c r="R146" s="34">
        <f t="shared" si="70"/>
        <v>0</v>
      </c>
      <c r="S146" s="34">
        <f t="shared" si="70"/>
        <v>0</v>
      </c>
      <c r="T146" s="34">
        <f t="shared" si="70"/>
        <v>0</v>
      </c>
      <c r="U146" s="34">
        <f t="shared" si="70"/>
        <v>0</v>
      </c>
      <c r="V146" s="182">
        <f>SUM(B146:U146)</f>
        <v>1.1984516103768258E-2</v>
      </c>
      <c r="W146" s="35"/>
    </row>
    <row r="147" spans="1:23" s="99" customFormat="1" ht="12.75">
      <c r="A147" s="131"/>
      <c r="B147" s="52"/>
      <c r="C147" s="52"/>
      <c r="D147" s="52"/>
      <c r="E147" s="52"/>
      <c r="F147" s="52"/>
      <c r="G147" s="52"/>
      <c r="H147" s="52"/>
      <c r="I147" s="52"/>
      <c r="J147" s="52"/>
      <c r="K147" s="52"/>
      <c r="L147" s="52"/>
      <c r="M147" s="52"/>
      <c r="N147" s="52"/>
      <c r="O147" s="52"/>
      <c r="P147" s="52"/>
      <c r="Q147" s="52"/>
      <c r="R147" s="52"/>
      <c r="S147" s="52"/>
      <c r="T147" s="52"/>
      <c r="U147" s="52"/>
      <c r="V147" s="180"/>
      <c r="W147" s="133"/>
    </row>
    <row r="148" spans="1:23" ht="12.75">
      <c r="A148" s="100" t="s">
        <v>1092</v>
      </c>
      <c r="B148" s="136"/>
      <c r="C148" s="136"/>
      <c r="D148" s="136"/>
      <c r="E148" s="136"/>
      <c r="F148" s="136"/>
      <c r="G148" s="136"/>
      <c r="H148" s="136"/>
      <c r="I148" s="136"/>
      <c r="J148" s="136"/>
      <c r="K148" s="136"/>
      <c r="L148" s="136"/>
      <c r="M148" s="136"/>
      <c r="N148" s="136"/>
      <c r="O148" s="136"/>
      <c r="P148" s="136"/>
      <c r="Q148" s="136"/>
      <c r="R148" s="136"/>
      <c r="S148" s="136"/>
      <c r="T148" s="136"/>
      <c r="U148" s="136"/>
      <c r="V148" s="180"/>
      <c r="W148" s="53"/>
    </row>
    <row r="149" spans="1:23" ht="12.75">
      <c r="A149" s="200" t="s">
        <v>679</v>
      </c>
      <c r="B149" s="136">
        <v>0</v>
      </c>
      <c r="C149" s="136">
        <v>0</v>
      </c>
      <c r="D149" s="136">
        <v>0</v>
      </c>
      <c r="E149" s="136">
        <v>0</v>
      </c>
      <c r="F149" s="136">
        <v>0</v>
      </c>
      <c r="G149" s="136">
        <v>0</v>
      </c>
      <c r="H149" s="136">
        <v>0</v>
      </c>
      <c r="I149" s="136">
        <v>0</v>
      </c>
      <c r="J149" s="136">
        <v>0</v>
      </c>
      <c r="K149" s="136">
        <v>0</v>
      </c>
      <c r="L149" s="136">
        <v>0</v>
      </c>
      <c r="M149" s="136">
        <v>0</v>
      </c>
      <c r="N149" s="136">
        <v>0</v>
      </c>
      <c r="O149" s="136">
        <v>0</v>
      </c>
      <c r="P149" s="136">
        <v>0</v>
      </c>
      <c r="Q149" s="136">
        <v>0</v>
      </c>
      <c r="R149" s="136">
        <v>0</v>
      </c>
      <c r="S149" s="136">
        <v>0</v>
      </c>
      <c r="T149" s="136">
        <v>0</v>
      </c>
      <c r="U149" s="136">
        <v>0</v>
      </c>
      <c r="V149" s="180">
        <f>SUM(B149:U149)</f>
        <v>0</v>
      </c>
      <c r="W149" s="53">
        <f>V149/20</f>
        <v>0</v>
      </c>
    </row>
    <row r="150" spans="1:23" ht="12.75">
      <c r="A150" s="200" t="s">
        <v>680</v>
      </c>
      <c r="B150" s="136">
        <f t="shared" ref="B150:U150" si="71">B27+B29</f>
        <v>5.45E-3</v>
      </c>
      <c r="C150" s="136">
        <f t="shared" si="71"/>
        <v>5.45E-3</v>
      </c>
      <c r="D150" s="136">
        <f t="shared" si="71"/>
        <v>5.45E-3</v>
      </c>
      <c r="E150" s="136">
        <f t="shared" si="71"/>
        <v>5.45E-3</v>
      </c>
      <c r="F150" s="136">
        <f t="shared" si="71"/>
        <v>5.45E-3</v>
      </c>
      <c r="G150" s="136">
        <f t="shared" si="71"/>
        <v>5.45E-3</v>
      </c>
      <c r="H150" s="136">
        <f t="shared" si="71"/>
        <v>5.45E-3</v>
      </c>
      <c r="I150" s="136">
        <f t="shared" si="71"/>
        <v>5.45E-3</v>
      </c>
      <c r="J150" s="136">
        <f t="shared" si="71"/>
        <v>5.45E-3</v>
      </c>
      <c r="K150" s="136">
        <f t="shared" si="71"/>
        <v>5.45E-3</v>
      </c>
      <c r="L150" s="136">
        <f t="shared" si="71"/>
        <v>5.45E-3</v>
      </c>
      <c r="M150" s="136">
        <f t="shared" si="71"/>
        <v>5.45E-3</v>
      </c>
      <c r="N150" s="136">
        <f t="shared" si="71"/>
        <v>5.45E-3</v>
      </c>
      <c r="O150" s="136">
        <f t="shared" si="71"/>
        <v>5.45E-3</v>
      </c>
      <c r="P150" s="136">
        <f t="shared" si="71"/>
        <v>5.45E-3</v>
      </c>
      <c r="Q150" s="136">
        <f t="shared" si="71"/>
        <v>5.45E-3</v>
      </c>
      <c r="R150" s="136">
        <f t="shared" si="71"/>
        <v>5.45E-3</v>
      </c>
      <c r="S150" s="136">
        <f t="shared" si="71"/>
        <v>5.45E-3</v>
      </c>
      <c r="T150" s="136">
        <f t="shared" si="71"/>
        <v>5.45E-3</v>
      </c>
      <c r="U150" s="136">
        <f t="shared" si="71"/>
        <v>5.45E-3</v>
      </c>
      <c r="V150" s="180">
        <f t="shared" ref="V150:V151" si="72">SUM(B150:U150)</f>
        <v>0.10899999999999996</v>
      </c>
      <c r="W150" s="53">
        <f t="shared" ref="W150:W151" si="73">V150/20</f>
        <v>5.4499999999999982E-3</v>
      </c>
    </row>
    <row r="151" spans="1:23" s="3" customFormat="1" ht="12.75">
      <c r="A151" s="49" t="s">
        <v>664</v>
      </c>
      <c r="B151" s="30">
        <f>SUM(B149:B150)</f>
        <v>5.45E-3</v>
      </c>
      <c r="C151" s="30">
        <f t="shared" ref="C151" si="74">SUM(C149:C150)</f>
        <v>5.45E-3</v>
      </c>
      <c r="D151" s="30">
        <f t="shared" ref="D151" si="75">SUM(D149:D150)</f>
        <v>5.45E-3</v>
      </c>
      <c r="E151" s="30">
        <f t="shared" ref="E151" si="76">SUM(E149:E150)</f>
        <v>5.45E-3</v>
      </c>
      <c r="F151" s="30">
        <f t="shared" ref="F151" si="77">SUM(F149:F150)</f>
        <v>5.45E-3</v>
      </c>
      <c r="G151" s="30">
        <f t="shared" ref="G151" si="78">SUM(G149:G150)</f>
        <v>5.45E-3</v>
      </c>
      <c r="H151" s="30">
        <f t="shared" ref="H151" si="79">SUM(H149:H150)</f>
        <v>5.45E-3</v>
      </c>
      <c r="I151" s="30">
        <f t="shared" ref="I151" si="80">SUM(I149:I150)</f>
        <v>5.45E-3</v>
      </c>
      <c r="J151" s="30">
        <f t="shared" ref="J151" si="81">SUM(J149:J150)</f>
        <v>5.45E-3</v>
      </c>
      <c r="K151" s="30">
        <f t="shared" ref="K151" si="82">SUM(K149:K150)</f>
        <v>5.45E-3</v>
      </c>
      <c r="L151" s="30">
        <f t="shared" ref="L151" si="83">SUM(L149:L150)</f>
        <v>5.45E-3</v>
      </c>
      <c r="M151" s="30">
        <f t="shared" ref="M151" si="84">SUM(M149:M150)</f>
        <v>5.45E-3</v>
      </c>
      <c r="N151" s="30">
        <f t="shared" ref="N151" si="85">SUM(N149:N150)</f>
        <v>5.45E-3</v>
      </c>
      <c r="O151" s="30">
        <f t="shared" ref="O151" si="86">SUM(O149:O150)</f>
        <v>5.45E-3</v>
      </c>
      <c r="P151" s="30">
        <f t="shared" ref="P151" si="87">SUM(P149:P150)</f>
        <v>5.45E-3</v>
      </c>
      <c r="Q151" s="30">
        <f t="shared" ref="Q151" si="88">SUM(Q149:Q150)</f>
        <v>5.45E-3</v>
      </c>
      <c r="R151" s="30">
        <f t="shared" ref="R151" si="89">SUM(R149:R150)</f>
        <v>5.45E-3</v>
      </c>
      <c r="S151" s="30">
        <f t="shared" ref="S151" si="90">SUM(S149:S150)</f>
        <v>5.45E-3</v>
      </c>
      <c r="T151" s="30">
        <f t="shared" ref="T151" si="91">SUM(T149:T150)</f>
        <v>5.45E-3</v>
      </c>
      <c r="U151" s="30">
        <f t="shared" ref="U151" si="92">SUM(U149:U150)</f>
        <v>5.45E-3</v>
      </c>
      <c r="V151" s="180">
        <f t="shared" si="72"/>
        <v>0.10899999999999996</v>
      </c>
      <c r="W151" s="53">
        <f t="shared" si="73"/>
        <v>5.4499999999999982E-3</v>
      </c>
    </row>
    <row r="152" spans="1:23" ht="13.5" customHeight="1">
      <c r="A152" s="134" t="s">
        <v>123</v>
      </c>
      <c r="B152" s="52">
        <v>0.96618357487922713</v>
      </c>
      <c r="C152" s="52">
        <v>0.93351070036640305</v>
      </c>
      <c r="D152" s="52">
        <v>0.90194270566802237</v>
      </c>
      <c r="E152" s="52">
        <v>0.87144222769857238</v>
      </c>
      <c r="F152" s="52">
        <v>0.84197316685852419</v>
      </c>
      <c r="G152" s="52">
        <v>0.81350064430775282</v>
      </c>
      <c r="H152" s="52">
        <v>0.78599096068381913</v>
      </c>
      <c r="I152" s="52">
        <v>0.75941155621625056</v>
      </c>
      <c r="J152" s="52">
        <v>0.73373097218961414</v>
      </c>
      <c r="K152" s="52">
        <v>0.70891881370977217</v>
      </c>
      <c r="L152" s="52">
        <v>0.68494571372924851</v>
      </c>
      <c r="M152" s="52">
        <v>0.66178329828912896</v>
      </c>
      <c r="N152" s="52">
        <v>0.63940415293635666</v>
      </c>
      <c r="O152" s="52">
        <v>0.61778179027667302</v>
      </c>
      <c r="P152" s="52">
        <v>0.59689061862480497</v>
      </c>
      <c r="Q152" s="52">
        <v>0.57670591171478747</v>
      </c>
      <c r="R152" s="52">
        <v>0.55720377943457733</v>
      </c>
      <c r="S152" s="52">
        <v>0.53836113955031628</v>
      </c>
      <c r="T152" s="52">
        <v>0.52015569038677911</v>
      </c>
      <c r="U152" s="52">
        <v>0.50256588443167061</v>
      </c>
      <c r="V152" s="180"/>
      <c r="W152" s="133"/>
    </row>
    <row r="153" spans="1:23" s="81" customFormat="1" ht="12.75">
      <c r="A153" s="50" t="s">
        <v>1069</v>
      </c>
      <c r="B153" s="34">
        <f t="shared" ref="B153:U153" si="93">B152*B151</f>
        <v>5.2657004830917878E-3</v>
      </c>
      <c r="C153" s="34">
        <f t="shared" si="93"/>
        <v>5.0876333169968969E-3</v>
      </c>
      <c r="D153" s="34">
        <f t="shared" si="93"/>
        <v>4.9155877458907215E-3</v>
      </c>
      <c r="E153" s="34">
        <f t="shared" si="93"/>
        <v>4.7493601409572192E-3</v>
      </c>
      <c r="F153" s="34">
        <f t="shared" si="93"/>
        <v>4.5887537593789565E-3</v>
      </c>
      <c r="G153" s="34">
        <f t="shared" si="93"/>
        <v>4.4335785114772526E-3</v>
      </c>
      <c r="H153" s="34">
        <f t="shared" si="93"/>
        <v>4.2836507357268145E-3</v>
      </c>
      <c r="I153" s="34">
        <f t="shared" si="93"/>
        <v>4.1387929813785657E-3</v>
      </c>
      <c r="J153" s="34">
        <f t="shared" si="93"/>
        <v>3.9988337984333969E-3</v>
      </c>
      <c r="K153" s="34">
        <f t="shared" si="93"/>
        <v>3.8636075347182582E-3</v>
      </c>
      <c r="L153" s="34">
        <f t="shared" si="93"/>
        <v>3.7329541398244044E-3</v>
      </c>
      <c r="M153" s="34">
        <f t="shared" si="93"/>
        <v>3.6067189756757529E-3</v>
      </c>
      <c r="N153" s="34">
        <f t="shared" si="93"/>
        <v>3.4847526335031439E-3</v>
      </c>
      <c r="O153" s="34">
        <f t="shared" si="93"/>
        <v>3.3669107570078677E-3</v>
      </c>
      <c r="P153" s="34">
        <f t="shared" si="93"/>
        <v>3.2530538715051871E-3</v>
      </c>
      <c r="Q153" s="34">
        <f t="shared" si="93"/>
        <v>3.1430472188455918E-3</v>
      </c>
      <c r="R153" s="34">
        <f t="shared" si="93"/>
        <v>3.0367605979184464E-3</v>
      </c>
      <c r="S153" s="34">
        <f t="shared" si="93"/>
        <v>2.9340682105492236E-3</v>
      </c>
      <c r="T153" s="34">
        <f t="shared" si="93"/>
        <v>2.8348485126079462E-3</v>
      </c>
      <c r="U153" s="34">
        <f t="shared" si="93"/>
        <v>2.7389840701526049E-3</v>
      </c>
      <c r="V153" s="182">
        <f>SUM(B153:U153)</f>
        <v>7.7457597995640046E-2</v>
      </c>
      <c r="W153" s="35"/>
    </row>
    <row r="154" spans="1:23" ht="12.75">
      <c r="A154" s="32"/>
      <c r="B154" s="136"/>
      <c r="C154" s="136"/>
      <c r="D154" s="136"/>
      <c r="E154" s="136"/>
      <c r="F154" s="136"/>
      <c r="G154" s="136"/>
      <c r="H154" s="136"/>
      <c r="I154" s="136"/>
      <c r="J154" s="136"/>
      <c r="K154" s="136"/>
      <c r="L154" s="136"/>
      <c r="M154" s="136"/>
      <c r="N154" s="136"/>
      <c r="O154" s="136"/>
      <c r="P154" s="136"/>
      <c r="Q154" s="136"/>
      <c r="R154" s="136"/>
      <c r="S154" s="136"/>
      <c r="T154" s="136"/>
      <c r="U154" s="136"/>
      <c r="V154" s="180"/>
      <c r="W154" s="53"/>
    </row>
    <row r="155" spans="1:23" s="99" customFormat="1" ht="12.75">
      <c r="A155" s="135" t="s">
        <v>1093</v>
      </c>
      <c r="B155" s="52"/>
      <c r="C155" s="52"/>
      <c r="D155" s="52"/>
      <c r="E155" s="52"/>
      <c r="F155" s="52"/>
      <c r="G155" s="52"/>
      <c r="H155" s="52"/>
      <c r="I155" s="52"/>
      <c r="J155" s="52"/>
      <c r="K155" s="52"/>
      <c r="L155" s="52"/>
      <c r="M155" s="52"/>
      <c r="N155" s="52"/>
      <c r="O155" s="52"/>
      <c r="P155" s="52"/>
      <c r="Q155" s="52"/>
      <c r="R155" s="52"/>
      <c r="S155" s="52"/>
      <c r="T155" s="52"/>
      <c r="U155" s="52"/>
      <c r="V155" s="180"/>
      <c r="W155" s="133"/>
    </row>
    <row r="156" spans="1:23" s="99" customFormat="1" ht="12.75">
      <c r="A156" s="200" t="s">
        <v>679</v>
      </c>
      <c r="B156" s="52">
        <f t="shared" ref="B156:U156" si="94">B21</f>
        <v>0</v>
      </c>
      <c r="C156" s="52">
        <f t="shared" si="94"/>
        <v>0</v>
      </c>
      <c r="D156" s="52">
        <f t="shared" si="94"/>
        <v>0</v>
      </c>
      <c r="E156" s="52">
        <f t="shared" si="94"/>
        <v>0</v>
      </c>
      <c r="F156" s="52">
        <f t="shared" si="94"/>
        <v>0</v>
      </c>
      <c r="G156" s="52">
        <f t="shared" si="94"/>
        <v>0</v>
      </c>
      <c r="H156" s="52">
        <f t="shared" si="94"/>
        <v>0</v>
      </c>
      <c r="I156" s="52">
        <f t="shared" si="94"/>
        <v>0</v>
      </c>
      <c r="J156" s="52">
        <f t="shared" si="94"/>
        <v>0</v>
      </c>
      <c r="K156" s="52">
        <f t="shared" si="94"/>
        <v>6.7499999999999999E-3</v>
      </c>
      <c r="L156" s="52">
        <f t="shared" si="94"/>
        <v>0</v>
      </c>
      <c r="M156" s="52">
        <f t="shared" si="94"/>
        <v>0</v>
      </c>
      <c r="N156" s="52">
        <f t="shared" si="94"/>
        <v>0</v>
      </c>
      <c r="O156" s="52">
        <f t="shared" si="94"/>
        <v>0</v>
      </c>
      <c r="P156" s="52">
        <f t="shared" si="94"/>
        <v>0</v>
      </c>
      <c r="Q156" s="52">
        <f t="shared" si="94"/>
        <v>0</v>
      </c>
      <c r="R156" s="52">
        <f t="shared" si="94"/>
        <v>0</v>
      </c>
      <c r="S156" s="52">
        <f t="shared" si="94"/>
        <v>0</v>
      </c>
      <c r="T156" s="52">
        <f t="shared" si="94"/>
        <v>0</v>
      </c>
      <c r="U156" s="52">
        <f t="shared" si="94"/>
        <v>0</v>
      </c>
      <c r="V156" s="180">
        <f>SUM(B156:U156)</f>
        <v>6.7499999999999999E-3</v>
      </c>
      <c r="W156" s="133">
        <f>V156/20</f>
        <v>3.3750000000000002E-4</v>
      </c>
    </row>
    <row r="157" spans="1:23" s="99" customFormat="1" ht="12.75">
      <c r="A157" s="200" t="s">
        <v>680</v>
      </c>
      <c r="B157" s="52">
        <v>0</v>
      </c>
      <c r="C157" s="52">
        <v>0</v>
      </c>
      <c r="D157" s="52">
        <v>0</v>
      </c>
      <c r="E157" s="52">
        <v>0</v>
      </c>
      <c r="F157" s="52">
        <v>0</v>
      </c>
      <c r="G157" s="52">
        <v>0</v>
      </c>
      <c r="H157" s="52">
        <v>0</v>
      </c>
      <c r="I157" s="52">
        <v>0</v>
      </c>
      <c r="J157" s="52">
        <v>0</v>
      </c>
      <c r="K157" s="52">
        <v>0</v>
      </c>
      <c r="L157" s="52">
        <v>0</v>
      </c>
      <c r="M157" s="52">
        <v>0</v>
      </c>
      <c r="N157" s="52">
        <v>0</v>
      </c>
      <c r="O157" s="52">
        <v>0</v>
      </c>
      <c r="P157" s="52">
        <v>0</v>
      </c>
      <c r="Q157" s="52">
        <v>0</v>
      </c>
      <c r="R157" s="52">
        <v>0</v>
      </c>
      <c r="S157" s="52">
        <v>0</v>
      </c>
      <c r="T157" s="52">
        <v>0</v>
      </c>
      <c r="U157" s="52">
        <v>0</v>
      </c>
      <c r="V157" s="180">
        <f t="shared" ref="V157:V158" si="95">SUM(B157:U157)</f>
        <v>0</v>
      </c>
      <c r="W157" s="133">
        <f t="shared" ref="W157:W158" si="96">V157/20</f>
        <v>0</v>
      </c>
    </row>
    <row r="158" spans="1:23" s="20" customFormat="1" ht="12.75">
      <c r="A158" s="49" t="s">
        <v>664</v>
      </c>
      <c r="B158" s="34">
        <f>SUM(B156:B157)</f>
        <v>0</v>
      </c>
      <c r="C158" s="34">
        <f t="shared" ref="C158:U158" si="97">SUM(C156:C157)</f>
        <v>0</v>
      </c>
      <c r="D158" s="34">
        <f t="shared" si="97"/>
        <v>0</v>
      </c>
      <c r="E158" s="34">
        <f t="shared" si="97"/>
        <v>0</v>
      </c>
      <c r="F158" s="34">
        <f t="shared" si="97"/>
        <v>0</v>
      </c>
      <c r="G158" s="34">
        <f t="shared" si="97"/>
        <v>0</v>
      </c>
      <c r="H158" s="34">
        <f t="shared" si="97"/>
        <v>0</v>
      </c>
      <c r="I158" s="34">
        <f t="shared" si="97"/>
        <v>0</v>
      </c>
      <c r="J158" s="34">
        <f t="shared" si="97"/>
        <v>0</v>
      </c>
      <c r="K158" s="34">
        <f t="shared" si="97"/>
        <v>6.7499999999999999E-3</v>
      </c>
      <c r="L158" s="34">
        <f t="shared" si="97"/>
        <v>0</v>
      </c>
      <c r="M158" s="34">
        <f t="shared" si="97"/>
        <v>0</v>
      </c>
      <c r="N158" s="34">
        <f t="shared" si="97"/>
        <v>0</v>
      </c>
      <c r="O158" s="34">
        <f t="shared" si="97"/>
        <v>0</v>
      </c>
      <c r="P158" s="34">
        <f t="shared" si="97"/>
        <v>0</v>
      </c>
      <c r="Q158" s="34">
        <f t="shared" si="97"/>
        <v>0</v>
      </c>
      <c r="R158" s="34">
        <f t="shared" si="97"/>
        <v>0</v>
      </c>
      <c r="S158" s="34">
        <f t="shared" si="97"/>
        <v>0</v>
      </c>
      <c r="T158" s="34">
        <f t="shared" si="97"/>
        <v>0</v>
      </c>
      <c r="U158" s="34">
        <f t="shared" si="97"/>
        <v>0</v>
      </c>
      <c r="V158" s="180">
        <f t="shared" si="95"/>
        <v>6.7499999999999999E-3</v>
      </c>
      <c r="W158" s="133">
        <f t="shared" si="96"/>
        <v>3.3750000000000002E-4</v>
      </c>
    </row>
    <row r="159" spans="1:23" s="99" customFormat="1" ht="13.5" customHeight="1">
      <c r="A159" s="134" t="s">
        <v>123</v>
      </c>
      <c r="B159" s="52">
        <v>0.96618357487922713</v>
      </c>
      <c r="C159" s="52">
        <v>0.93351070036640305</v>
      </c>
      <c r="D159" s="52">
        <v>0.90194270566802237</v>
      </c>
      <c r="E159" s="52">
        <v>0.87144222769857238</v>
      </c>
      <c r="F159" s="52">
        <v>0.84197316685852419</v>
      </c>
      <c r="G159" s="52">
        <v>0.81350064430775282</v>
      </c>
      <c r="H159" s="52">
        <v>0.78599096068381913</v>
      </c>
      <c r="I159" s="52">
        <v>0.75941155621625056</v>
      </c>
      <c r="J159" s="52">
        <v>0.73373097218961414</v>
      </c>
      <c r="K159" s="52">
        <v>0.70891881370977217</v>
      </c>
      <c r="L159" s="52">
        <v>0.68494571372924851</v>
      </c>
      <c r="M159" s="52">
        <v>0.66178329828912896</v>
      </c>
      <c r="N159" s="52">
        <v>0.63940415293635666</v>
      </c>
      <c r="O159" s="52">
        <v>0.61778179027667302</v>
      </c>
      <c r="P159" s="52">
        <v>0.59689061862480497</v>
      </c>
      <c r="Q159" s="52">
        <v>0.57670591171478747</v>
      </c>
      <c r="R159" s="52">
        <v>0.55720377943457733</v>
      </c>
      <c r="S159" s="52">
        <v>0.53836113955031628</v>
      </c>
      <c r="T159" s="52">
        <v>0.52015569038677911</v>
      </c>
      <c r="U159" s="52">
        <v>0.50256588443167061</v>
      </c>
      <c r="V159" s="180"/>
      <c r="W159" s="133"/>
    </row>
    <row r="160" spans="1:23" s="100" customFormat="1" ht="12.75">
      <c r="A160" s="50" t="s">
        <v>1069</v>
      </c>
      <c r="B160" s="34">
        <f t="shared" ref="B160:U160" si="98">B159*B158</f>
        <v>0</v>
      </c>
      <c r="C160" s="34">
        <f t="shared" si="98"/>
        <v>0</v>
      </c>
      <c r="D160" s="34">
        <f t="shared" si="98"/>
        <v>0</v>
      </c>
      <c r="E160" s="34">
        <f t="shared" si="98"/>
        <v>0</v>
      </c>
      <c r="F160" s="34">
        <f t="shared" si="98"/>
        <v>0</v>
      </c>
      <c r="G160" s="34">
        <f t="shared" si="98"/>
        <v>0</v>
      </c>
      <c r="H160" s="34">
        <f t="shared" si="98"/>
        <v>0</v>
      </c>
      <c r="I160" s="34">
        <f t="shared" si="98"/>
        <v>0</v>
      </c>
      <c r="J160" s="34">
        <f t="shared" si="98"/>
        <v>0</v>
      </c>
      <c r="K160" s="34">
        <f t="shared" si="98"/>
        <v>4.785201992540962E-3</v>
      </c>
      <c r="L160" s="34">
        <f t="shared" si="98"/>
        <v>0</v>
      </c>
      <c r="M160" s="34">
        <f t="shared" si="98"/>
        <v>0</v>
      </c>
      <c r="N160" s="34">
        <f t="shared" si="98"/>
        <v>0</v>
      </c>
      <c r="O160" s="34">
        <f t="shared" si="98"/>
        <v>0</v>
      </c>
      <c r="P160" s="34">
        <f t="shared" si="98"/>
        <v>0</v>
      </c>
      <c r="Q160" s="34">
        <f t="shared" si="98"/>
        <v>0</v>
      </c>
      <c r="R160" s="34">
        <f t="shared" si="98"/>
        <v>0</v>
      </c>
      <c r="S160" s="34">
        <f t="shared" si="98"/>
        <v>0</v>
      </c>
      <c r="T160" s="34">
        <f t="shared" si="98"/>
        <v>0</v>
      </c>
      <c r="U160" s="34">
        <f t="shared" si="98"/>
        <v>0</v>
      </c>
      <c r="V160" s="182">
        <f>SUM(B160:U160)</f>
        <v>4.785201992540962E-3</v>
      </c>
      <c r="W160" s="35"/>
    </row>
    <row r="161" spans="1:23" s="99" customFormat="1" ht="12.75">
      <c r="A161" s="48"/>
      <c r="B161" s="52"/>
      <c r="C161" s="52"/>
      <c r="D161" s="52"/>
      <c r="E161" s="52"/>
      <c r="F161" s="52"/>
      <c r="G161" s="52"/>
      <c r="H161" s="52"/>
      <c r="I161" s="52"/>
      <c r="J161" s="52"/>
      <c r="K161" s="52"/>
      <c r="L161" s="52"/>
      <c r="M161" s="52"/>
      <c r="N161" s="52"/>
      <c r="O161" s="52"/>
      <c r="P161" s="52"/>
      <c r="Q161" s="52"/>
      <c r="R161" s="52"/>
      <c r="S161" s="52"/>
      <c r="T161" s="52"/>
      <c r="U161" s="52"/>
      <c r="V161" s="180"/>
      <c r="W161" s="133"/>
    </row>
    <row r="162" spans="1:23" ht="12.75">
      <c r="A162" s="138" t="s">
        <v>1094</v>
      </c>
      <c r="B162" s="136"/>
      <c r="C162" s="136"/>
      <c r="D162" s="136"/>
      <c r="E162" s="136"/>
      <c r="F162" s="136"/>
      <c r="G162" s="136"/>
      <c r="H162" s="136"/>
      <c r="I162" s="136"/>
      <c r="J162" s="136"/>
      <c r="K162" s="136"/>
      <c r="L162" s="136"/>
      <c r="M162" s="136"/>
      <c r="N162" s="136"/>
      <c r="O162" s="136"/>
      <c r="P162" s="136"/>
      <c r="Q162" s="136"/>
      <c r="R162" s="136"/>
      <c r="S162" s="136"/>
      <c r="T162" s="136"/>
      <c r="U162" s="136"/>
      <c r="V162" s="180"/>
      <c r="W162" s="53"/>
    </row>
    <row r="163" spans="1:23" ht="12.75">
      <c r="A163" s="200" t="s">
        <v>679</v>
      </c>
      <c r="B163" s="136">
        <f t="shared" ref="B163:U163" si="99">B16</f>
        <v>6.7499999999999999E-3</v>
      </c>
      <c r="C163" s="136">
        <f t="shared" si="99"/>
        <v>0</v>
      </c>
      <c r="D163" s="136">
        <f t="shared" si="99"/>
        <v>0</v>
      </c>
      <c r="E163" s="136">
        <f t="shared" si="99"/>
        <v>0</v>
      </c>
      <c r="F163" s="136">
        <f t="shared" si="99"/>
        <v>0</v>
      </c>
      <c r="G163" s="136">
        <f t="shared" si="99"/>
        <v>0</v>
      </c>
      <c r="H163" s="136">
        <f t="shared" si="99"/>
        <v>0</v>
      </c>
      <c r="I163" s="136">
        <f t="shared" si="99"/>
        <v>0</v>
      </c>
      <c r="J163" s="136">
        <f t="shared" si="99"/>
        <v>0</v>
      </c>
      <c r="K163" s="136">
        <f t="shared" si="99"/>
        <v>0</v>
      </c>
      <c r="L163" s="136">
        <f t="shared" si="99"/>
        <v>0</v>
      </c>
      <c r="M163" s="136">
        <f t="shared" si="99"/>
        <v>0</v>
      </c>
      <c r="N163" s="136">
        <f t="shared" si="99"/>
        <v>0</v>
      </c>
      <c r="O163" s="136">
        <f t="shared" si="99"/>
        <v>0</v>
      </c>
      <c r="P163" s="136">
        <f t="shared" si="99"/>
        <v>0</v>
      </c>
      <c r="Q163" s="136">
        <f t="shared" si="99"/>
        <v>0</v>
      </c>
      <c r="R163" s="136">
        <f t="shared" si="99"/>
        <v>0</v>
      </c>
      <c r="S163" s="136">
        <f t="shared" si="99"/>
        <v>0</v>
      </c>
      <c r="T163" s="136">
        <f t="shared" si="99"/>
        <v>0</v>
      </c>
      <c r="U163" s="136">
        <f t="shared" si="99"/>
        <v>0</v>
      </c>
      <c r="V163" s="180">
        <f>SUM(B163:U163)</f>
        <v>6.7499999999999999E-3</v>
      </c>
      <c r="W163" s="53">
        <f>V163/20</f>
        <v>3.3750000000000002E-4</v>
      </c>
    </row>
    <row r="164" spans="1:23" ht="12.75">
      <c r="A164" s="200" t="s">
        <v>680</v>
      </c>
      <c r="B164" s="136">
        <v>0</v>
      </c>
      <c r="C164" s="136">
        <v>0</v>
      </c>
      <c r="D164" s="136">
        <v>0</v>
      </c>
      <c r="E164" s="136">
        <v>0</v>
      </c>
      <c r="F164" s="136">
        <v>0</v>
      </c>
      <c r="G164" s="136">
        <v>0</v>
      </c>
      <c r="H164" s="136">
        <v>0</v>
      </c>
      <c r="I164" s="136">
        <v>0</v>
      </c>
      <c r="J164" s="136">
        <v>0</v>
      </c>
      <c r="K164" s="136">
        <v>0</v>
      </c>
      <c r="L164" s="136">
        <v>0</v>
      </c>
      <c r="M164" s="136">
        <v>0</v>
      </c>
      <c r="N164" s="136">
        <v>0</v>
      </c>
      <c r="O164" s="136">
        <v>0</v>
      </c>
      <c r="P164" s="136">
        <v>0</v>
      </c>
      <c r="Q164" s="136">
        <v>0</v>
      </c>
      <c r="R164" s="136">
        <v>0</v>
      </c>
      <c r="S164" s="136">
        <v>0</v>
      </c>
      <c r="T164" s="136">
        <v>0</v>
      </c>
      <c r="U164" s="136">
        <v>0</v>
      </c>
      <c r="V164" s="180">
        <f t="shared" ref="V164:V165" si="100">SUM(B164:U164)</f>
        <v>0</v>
      </c>
      <c r="W164" s="53">
        <f t="shared" ref="W164:W165" si="101">V164/20</f>
        <v>0</v>
      </c>
    </row>
    <row r="165" spans="1:23" s="3" customFormat="1" ht="12.75">
      <c r="A165" s="49" t="s">
        <v>664</v>
      </c>
      <c r="B165" s="30">
        <f>SUM(B163:B164)</f>
        <v>6.7499999999999999E-3</v>
      </c>
      <c r="C165" s="30">
        <f t="shared" ref="C165:U165" si="102">SUM(C163:C164)</f>
        <v>0</v>
      </c>
      <c r="D165" s="30">
        <f t="shared" si="102"/>
        <v>0</v>
      </c>
      <c r="E165" s="30">
        <f t="shared" si="102"/>
        <v>0</v>
      </c>
      <c r="F165" s="30">
        <f t="shared" si="102"/>
        <v>0</v>
      </c>
      <c r="G165" s="30">
        <f t="shared" si="102"/>
        <v>0</v>
      </c>
      <c r="H165" s="30">
        <f t="shared" si="102"/>
        <v>0</v>
      </c>
      <c r="I165" s="30">
        <f t="shared" si="102"/>
        <v>0</v>
      </c>
      <c r="J165" s="30">
        <f t="shared" si="102"/>
        <v>0</v>
      </c>
      <c r="K165" s="30">
        <f t="shared" si="102"/>
        <v>0</v>
      </c>
      <c r="L165" s="30">
        <f t="shared" si="102"/>
        <v>0</v>
      </c>
      <c r="M165" s="30">
        <f t="shared" si="102"/>
        <v>0</v>
      </c>
      <c r="N165" s="30">
        <f t="shared" si="102"/>
        <v>0</v>
      </c>
      <c r="O165" s="30">
        <f t="shared" si="102"/>
        <v>0</v>
      </c>
      <c r="P165" s="30">
        <f t="shared" si="102"/>
        <v>0</v>
      </c>
      <c r="Q165" s="30">
        <f t="shared" si="102"/>
        <v>0</v>
      </c>
      <c r="R165" s="30">
        <f t="shared" si="102"/>
        <v>0</v>
      </c>
      <c r="S165" s="30">
        <f t="shared" si="102"/>
        <v>0</v>
      </c>
      <c r="T165" s="30">
        <f t="shared" si="102"/>
        <v>0</v>
      </c>
      <c r="U165" s="30">
        <f t="shared" si="102"/>
        <v>0</v>
      </c>
      <c r="V165" s="180">
        <f t="shared" si="100"/>
        <v>6.7499999999999999E-3</v>
      </c>
      <c r="W165" s="53">
        <f t="shared" si="101"/>
        <v>3.3750000000000002E-4</v>
      </c>
    </row>
    <row r="166" spans="1:23" ht="13.5" customHeight="1">
      <c r="A166" s="134" t="s">
        <v>123</v>
      </c>
      <c r="B166" s="52">
        <v>0.96618357487922713</v>
      </c>
      <c r="C166" s="52">
        <v>0.93351070036640305</v>
      </c>
      <c r="D166" s="52">
        <v>0.90194270566802237</v>
      </c>
      <c r="E166" s="52">
        <v>0.87144222769857238</v>
      </c>
      <c r="F166" s="52">
        <v>0.84197316685852419</v>
      </c>
      <c r="G166" s="52">
        <v>0.81350064430775282</v>
      </c>
      <c r="H166" s="52">
        <v>0.78599096068381913</v>
      </c>
      <c r="I166" s="52">
        <v>0.75941155621625056</v>
      </c>
      <c r="J166" s="52">
        <v>0.73373097218961414</v>
      </c>
      <c r="K166" s="52">
        <v>0.70891881370977217</v>
      </c>
      <c r="L166" s="52">
        <v>0.68494571372924851</v>
      </c>
      <c r="M166" s="52">
        <v>0.66178329828912896</v>
      </c>
      <c r="N166" s="52">
        <v>0.63940415293635666</v>
      </c>
      <c r="O166" s="52">
        <v>0.61778179027667302</v>
      </c>
      <c r="P166" s="52">
        <v>0.59689061862480497</v>
      </c>
      <c r="Q166" s="52">
        <v>0.57670591171478747</v>
      </c>
      <c r="R166" s="52">
        <v>0.55720377943457733</v>
      </c>
      <c r="S166" s="52">
        <v>0.53836113955031628</v>
      </c>
      <c r="T166" s="52">
        <v>0.52015569038677911</v>
      </c>
      <c r="U166" s="52">
        <v>0.50256588443167061</v>
      </c>
      <c r="V166" s="180"/>
      <c r="W166" s="133"/>
    </row>
    <row r="167" spans="1:23" s="81" customFormat="1" ht="12.75">
      <c r="A167" s="50" t="s">
        <v>1069</v>
      </c>
      <c r="B167" s="34">
        <f t="shared" ref="B167:U167" si="103">B166*B165</f>
        <v>6.5217391304347831E-3</v>
      </c>
      <c r="C167" s="34">
        <f t="shared" si="103"/>
        <v>0</v>
      </c>
      <c r="D167" s="34">
        <f t="shared" si="103"/>
        <v>0</v>
      </c>
      <c r="E167" s="34">
        <f t="shared" si="103"/>
        <v>0</v>
      </c>
      <c r="F167" s="34">
        <f t="shared" si="103"/>
        <v>0</v>
      </c>
      <c r="G167" s="34">
        <f t="shared" si="103"/>
        <v>0</v>
      </c>
      <c r="H167" s="34">
        <f t="shared" si="103"/>
        <v>0</v>
      </c>
      <c r="I167" s="34">
        <f t="shared" si="103"/>
        <v>0</v>
      </c>
      <c r="J167" s="34">
        <f t="shared" si="103"/>
        <v>0</v>
      </c>
      <c r="K167" s="34">
        <f t="shared" si="103"/>
        <v>0</v>
      </c>
      <c r="L167" s="34">
        <f t="shared" si="103"/>
        <v>0</v>
      </c>
      <c r="M167" s="34">
        <f t="shared" si="103"/>
        <v>0</v>
      </c>
      <c r="N167" s="34">
        <f t="shared" si="103"/>
        <v>0</v>
      </c>
      <c r="O167" s="34">
        <f t="shared" si="103"/>
        <v>0</v>
      </c>
      <c r="P167" s="34">
        <f t="shared" si="103"/>
        <v>0</v>
      </c>
      <c r="Q167" s="34">
        <f t="shared" si="103"/>
        <v>0</v>
      </c>
      <c r="R167" s="34">
        <f t="shared" si="103"/>
        <v>0</v>
      </c>
      <c r="S167" s="34">
        <f t="shared" si="103"/>
        <v>0</v>
      </c>
      <c r="T167" s="34">
        <f t="shared" si="103"/>
        <v>0</v>
      </c>
      <c r="U167" s="34">
        <f t="shared" si="103"/>
        <v>0</v>
      </c>
      <c r="V167" s="182">
        <f>SUM(B167:U167)</f>
        <v>6.5217391304347831E-3</v>
      </c>
      <c r="W167" s="35"/>
    </row>
    <row r="168" spans="1:23" ht="12.75">
      <c r="A168" s="32"/>
      <c r="B168" s="136"/>
      <c r="C168" s="136"/>
      <c r="D168" s="136"/>
      <c r="E168" s="136"/>
      <c r="F168" s="136"/>
      <c r="G168" s="136"/>
      <c r="H168" s="136"/>
      <c r="I168" s="136"/>
      <c r="J168" s="136"/>
      <c r="K168" s="136"/>
      <c r="L168" s="136"/>
      <c r="M168" s="136"/>
      <c r="N168" s="136"/>
      <c r="O168" s="136"/>
      <c r="P168" s="136"/>
      <c r="Q168" s="136"/>
      <c r="R168" s="136"/>
      <c r="S168" s="136"/>
      <c r="T168" s="136"/>
      <c r="U168" s="136"/>
      <c r="V168" s="180"/>
      <c r="W168" s="53"/>
    </row>
    <row r="169" spans="1:23" ht="12.75">
      <c r="A169" s="138" t="s">
        <v>1095</v>
      </c>
      <c r="B169" s="136"/>
      <c r="C169" s="136"/>
      <c r="D169" s="136"/>
      <c r="E169" s="136"/>
      <c r="F169" s="136"/>
      <c r="G169" s="136"/>
      <c r="H169" s="136"/>
      <c r="I169" s="136"/>
      <c r="J169" s="136"/>
      <c r="K169" s="136"/>
      <c r="L169" s="136"/>
      <c r="M169" s="136"/>
      <c r="N169" s="136"/>
      <c r="O169" s="136"/>
      <c r="P169" s="136"/>
      <c r="Q169" s="136"/>
      <c r="R169" s="136"/>
      <c r="S169" s="136"/>
      <c r="T169" s="136"/>
      <c r="U169" s="136"/>
      <c r="V169" s="180"/>
      <c r="W169" s="53"/>
    </row>
    <row r="170" spans="1:23" ht="12.75">
      <c r="A170" s="200" t="s">
        <v>679</v>
      </c>
      <c r="B170" s="136">
        <v>0</v>
      </c>
      <c r="C170" s="136">
        <v>0</v>
      </c>
      <c r="D170" s="136">
        <v>0</v>
      </c>
      <c r="E170" s="136">
        <v>0</v>
      </c>
      <c r="F170" s="136">
        <v>0</v>
      </c>
      <c r="G170" s="136">
        <v>0</v>
      </c>
      <c r="H170" s="136">
        <v>0</v>
      </c>
      <c r="I170" s="136">
        <v>0</v>
      </c>
      <c r="J170" s="136">
        <v>0</v>
      </c>
      <c r="K170" s="136">
        <v>0</v>
      </c>
      <c r="L170" s="136">
        <v>0</v>
      </c>
      <c r="M170" s="136">
        <v>0</v>
      </c>
      <c r="N170" s="136">
        <v>0</v>
      </c>
      <c r="O170" s="136">
        <v>0</v>
      </c>
      <c r="P170" s="136">
        <v>0</v>
      </c>
      <c r="Q170" s="136">
        <v>0</v>
      </c>
      <c r="R170" s="136">
        <v>0</v>
      </c>
      <c r="S170" s="136">
        <v>0</v>
      </c>
      <c r="T170" s="136">
        <v>0</v>
      </c>
      <c r="U170" s="136">
        <v>0</v>
      </c>
      <c r="V170" s="180">
        <f>SUM(B170:U170)</f>
        <v>0</v>
      </c>
      <c r="W170" s="53">
        <f>V170/20</f>
        <v>0</v>
      </c>
    </row>
    <row r="171" spans="1:23" ht="12.75">
      <c r="A171" s="200" t="s">
        <v>680</v>
      </c>
      <c r="B171" s="136">
        <v>0</v>
      </c>
      <c r="C171" s="136">
        <v>0</v>
      </c>
      <c r="D171" s="136">
        <v>0</v>
      </c>
      <c r="E171" s="136">
        <v>0</v>
      </c>
      <c r="F171" s="136">
        <v>0</v>
      </c>
      <c r="G171" s="136">
        <v>0</v>
      </c>
      <c r="H171" s="136">
        <v>0</v>
      </c>
      <c r="I171" s="136">
        <v>0</v>
      </c>
      <c r="J171" s="136">
        <v>0</v>
      </c>
      <c r="K171" s="136">
        <v>0</v>
      </c>
      <c r="L171" s="136">
        <v>0</v>
      </c>
      <c r="M171" s="136">
        <v>0</v>
      </c>
      <c r="N171" s="136">
        <v>0</v>
      </c>
      <c r="O171" s="136">
        <v>0</v>
      </c>
      <c r="P171" s="136">
        <v>0</v>
      </c>
      <c r="Q171" s="136">
        <v>0</v>
      </c>
      <c r="R171" s="136">
        <v>0</v>
      </c>
      <c r="S171" s="136">
        <v>0</v>
      </c>
      <c r="T171" s="136">
        <v>0</v>
      </c>
      <c r="U171" s="136">
        <v>0</v>
      </c>
      <c r="V171" s="180">
        <f t="shared" ref="V171:V172" si="104">SUM(B171:U171)</f>
        <v>0</v>
      </c>
      <c r="W171" s="53">
        <f t="shared" ref="W171:W172" si="105">V171/20</f>
        <v>0</v>
      </c>
    </row>
    <row r="172" spans="1:23" s="3" customFormat="1" ht="12.75">
      <c r="A172" s="49" t="s">
        <v>664</v>
      </c>
      <c r="B172" s="30">
        <f>SUM(B170:B171)</f>
        <v>0</v>
      </c>
      <c r="C172" s="30">
        <f t="shared" ref="C172:U172" si="106">SUM(C170:C171)</f>
        <v>0</v>
      </c>
      <c r="D172" s="30">
        <f t="shared" si="106"/>
        <v>0</v>
      </c>
      <c r="E172" s="30">
        <f t="shared" si="106"/>
        <v>0</v>
      </c>
      <c r="F172" s="30">
        <f t="shared" si="106"/>
        <v>0</v>
      </c>
      <c r="G172" s="30">
        <f t="shared" si="106"/>
        <v>0</v>
      </c>
      <c r="H172" s="30">
        <f t="shared" si="106"/>
        <v>0</v>
      </c>
      <c r="I172" s="30">
        <f t="shared" si="106"/>
        <v>0</v>
      </c>
      <c r="J172" s="30">
        <f t="shared" si="106"/>
        <v>0</v>
      </c>
      <c r="K172" s="30">
        <f t="shared" si="106"/>
        <v>0</v>
      </c>
      <c r="L172" s="30">
        <f t="shared" si="106"/>
        <v>0</v>
      </c>
      <c r="M172" s="30">
        <f t="shared" si="106"/>
        <v>0</v>
      </c>
      <c r="N172" s="30">
        <f t="shared" si="106"/>
        <v>0</v>
      </c>
      <c r="O172" s="30">
        <f t="shared" si="106"/>
        <v>0</v>
      </c>
      <c r="P172" s="30">
        <f t="shared" si="106"/>
        <v>0</v>
      </c>
      <c r="Q172" s="30">
        <f t="shared" si="106"/>
        <v>0</v>
      </c>
      <c r="R172" s="30">
        <f t="shared" si="106"/>
        <v>0</v>
      </c>
      <c r="S172" s="30">
        <f t="shared" si="106"/>
        <v>0</v>
      </c>
      <c r="T172" s="30">
        <f t="shared" si="106"/>
        <v>0</v>
      </c>
      <c r="U172" s="30">
        <f t="shared" si="106"/>
        <v>0</v>
      </c>
      <c r="V172" s="180">
        <f t="shared" si="104"/>
        <v>0</v>
      </c>
      <c r="W172" s="53">
        <f t="shared" si="105"/>
        <v>0</v>
      </c>
    </row>
    <row r="173" spans="1:23" ht="13.5" customHeight="1">
      <c r="A173" s="134" t="s">
        <v>123</v>
      </c>
      <c r="B173" s="52">
        <v>0.96618357487922713</v>
      </c>
      <c r="C173" s="52">
        <v>0.93351070036640305</v>
      </c>
      <c r="D173" s="52">
        <v>0.90194270566802237</v>
      </c>
      <c r="E173" s="52">
        <v>0.87144222769857238</v>
      </c>
      <c r="F173" s="52">
        <v>0.84197316685852419</v>
      </c>
      <c r="G173" s="52">
        <v>0.81350064430775282</v>
      </c>
      <c r="H173" s="52">
        <v>0.78599096068381913</v>
      </c>
      <c r="I173" s="52">
        <v>0.75941155621625056</v>
      </c>
      <c r="J173" s="52">
        <v>0.73373097218961414</v>
      </c>
      <c r="K173" s="52">
        <v>0.70891881370977217</v>
      </c>
      <c r="L173" s="52">
        <v>0.68494571372924851</v>
      </c>
      <c r="M173" s="52">
        <v>0.66178329828912896</v>
      </c>
      <c r="N173" s="52">
        <v>0.63940415293635666</v>
      </c>
      <c r="O173" s="52">
        <v>0.61778179027667302</v>
      </c>
      <c r="P173" s="52">
        <v>0.59689061862480497</v>
      </c>
      <c r="Q173" s="52">
        <v>0.57670591171478747</v>
      </c>
      <c r="R173" s="52">
        <v>0.55720377943457733</v>
      </c>
      <c r="S173" s="52">
        <v>0.53836113955031628</v>
      </c>
      <c r="T173" s="52">
        <v>0.52015569038677911</v>
      </c>
      <c r="U173" s="52">
        <v>0.50256588443167061</v>
      </c>
      <c r="V173" s="180"/>
      <c r="W173" s="133"/>
    </row>
    <row r="174" spans="1:23" s="81" customFormat="1" ht="12.75">
      <c r="A174" s="50" t="s">
        <v>1069</v>
      </c>
      <c r="B174" s="34">
        <f t="shared" ref="B174:U174" si="107">B173*B172</f>
        <v>0</v>
      </c>
      <c r="C174" s="34">
        <f t="shared" si="107"/>
        <v>0</v>
      </c>
      <c r="D174" s="34">
        <f t="shared" si="107"/>
        <v>0</v>
      </c>
      <c r="E174" s="34">
        <f t="shared" si="107"/>
        <v>0</v>
      </c>
      <c r="F174" s="34">
        <f t="shared" si="107"/>
        <v>0</v>
      </c>
      <c r="G174" s="34">
        <f t="shared" si="107"/>
        <v>0</v>
      </c>
      <c r="H174" s="34">
        <f t="shared" si="107"/>
        <v>0</v>
      </c>
      <c r="I174" s="34">
        <f t="shared" si="107"/>
        <v>0</v>
      </c>
      <c r="J174" s="34">
        <f t="shared" si="107"/>
        <v>0</v>
      </c>
      <c r="K174" s="34">
        <f t="shared" si="107"/>
        <v>0</v>
      </c>
      <c r="L174" s="34">
        <f t="shared" si="107"/>
        <v>0</v>
      </c>
      <c r="M174" s="34">
        <f t="shared" si="107"/>
        <v>0</v>
      </c>
      <c r="N174" s="34">
        <f t="shared" si="107"/>
        <v>0</v>
      </c>
      <c r="O174" s="34">
        <f t="shared" si="107"/>
        <v>0</v>
      </c>
      <c r="P174" s="34">
        <f t="shared" si="107"/>
        <v>0</v>
      </c>
      <c r="Q174" s="34">
        <f t="shared" si="107"/>
        <v>0</v>
      </c>
      <c r="R174" s="34">
        <f t="shared" si="107"/>
        <v>0</v>
      </c>
      <c r="S174" s="34">
        <f t="shared" si="107"/>
        <v>0</v>
      </c>
      <c r="T174" s="34">
        <f t="shared" si="107"/>
        <v>0</v>
      </c>
      <c r="U174" s="34">
        <f t="shared" si="107"/>
        <v>0</v>
      </c>
      <c r="V174" s="182">
        <f>SUM(B174:U174)</f>
        <v>0</v>
      </c>
      <c r="W174" s="35"/>
    </row>
    <row r="175" spans="1:23" ht="12.75">
      <c r="A175" s="32"/>
      <c r="B175" s="136"/>
      <c r="C175" s="136"/>
      <c r="D175" s="136"/>
      <c r="E175" s="136"/>
      <c r="F175" s="136"/>
      <c r="G175" s="136"/>
      <c r="H175" s="136"/>
      <c r="I175" s="136"/>
      <c r="J175" s="136"/>
      <c r="K175" s="136"/>
      <c r="L175" s="136"/>
      <c r="M175" s="136"/>
      <c r="N175" s="136"/>
      <c r="O175" s="136"/>
      <c r="P175" s="136"/>
      <c r="Q175" s="136"/>
      <c r="R175" s="136"/>
      <c r="S175" s="136"/>
      <c r="T175" s="136"/>
      <c r="U175" s="136"/>
      <c r="V175" s="180"/>
      <c r="W175" s="53"/>
    </row>
    <row r="176" spans="1:23" ht="12.75">
      <c r="A176" s="138" t="s">
        <v>1096</v>
      </c>
      <c r="B176" s="136"/>
      <c r="C176" s="136"/>
      <c r="D176" s="136"/>
      <c r="E176" s="136"/>
      <c r="F176" s="136"/>
      <c r="G176" s="136"/>
      <c r="H176" s="136"/>
      <c r="I176" s="136"/>
      <c r="J176" s="136"/>
      <c r="K176" s="136"/>
      <c r="L176" s="136"/>
      <c r="M176" s="136"/>
      <c r="N176" s="136"/>
      <c r="O176" s="136"/>
      <c r="P176" s="136"/>
      <c r="Q176" s="136"/>
      <c r="R176" s="136"/>
      <c r="S176" s="136"/>
      <c r="T176" s="136"/>
      <c r="U176" s="136"/>
      <c r="V176" s="180"/>
      <c r="W176" s="53"/>
    </row>
    <row r="177" spans="1:25" ht="12.75">
      <c r="A177" s="200" t="s">
        <v>679</v>
      </c>
      <c r="B177" s="136">
        <v>0</v>
      </c>
      <c r="C177" s="136">
        <v>0</v>
      </c>
      <c r="D177" s="136">
        <v>0</v>
      </c>
      <c r="E177" s="136">
        <v>0</v>
      </c>
      <c r="F177" s="136">
        <v>0</v>
      </c>
      <c r="G177" s="136">
        <v>0</v>
      </c>
      <c r="H177" s="136">
        <v>0</v>
      </c>
      <c r="I177" s="136">
        <v>0</v>
      </c>
      <c r="J177" s="136">
        <v>0</v>
      </c>
      <c r="K177" s="136">
        <v>0</v>
      </c>
      <c r="L177" s="136">
        <v>0</v>
      </c>
      <c r="M177" s="136">
        <v>0</v>
      </c>
      <c r="N177" s="136">
        <v>0</v>
      </c>
      <c r="O177" s="136">
        <v>0</v>
      </c>
      <c r="P177" s="136">
        <v>0</v>
      </c>
      <c r="Q177" s="136">
        <v>0</v>
      </c>
      <c r="R177" s="136">
        <v>0</v>
      </c>
      <c r="S177" s="136">
        <v>0</v>
      </c>
      <c r="T177" s="136">
        <v>0</v>
      </c>
      <c r="U177" s="136">
        <v>0</v>
      </c>
      <c r="V177" s="180">
        <f>SUM(B177:U177)</f>
        <v>0</v>
      </c>
      <c r="W177" s="53">
        <f>V177/20</f>
        <v>0</v>
      </c>
    </row>
    <row r="178" spans="1:25" ht="12.75">
      <c r="A178" s="200" t="s">
        <v>680</v>
      </c>
      <c r="B178" s="136">
        <f t="shared" ref="B178:U178" si="108">B25</f>
        <v>1.1474999999999999E-2</v>
      </c>
      <c r="C178" s="136">
        <f t="shared" si="108"/>
        <v>1.1474999999999999E-2</v>
      </c>
      <c r="D178" s="136">
        <f t="shared" si="108"/>
        <v>1.1474999999999999E-2</v>
      </c>
      <c r="E178" s="136">
        <f t="shared" si="108"/>
        <v>1.1474999999999999E-2</v>
      </c>
      <c r="F178" s="136">
        <f t="shared" si="108"/>
        <v>1.1474999999999999E-2</v>
      </c>
      <c r="G178" s="136">
        <f t="shared" si="108"/>
        <v>1.1474999999999999E-2</v>
      </c>
      <c r="H178" s="136">
        <f t="shared" si="108"/>
        <v>1.1474999999999999E-2</v>
      </c>
      <c r="I178" s="136">
        <f t="shared" si="108"/>
        <v>1.1474999999999999E-2</v>
      </c>
      <c r="J178" s="136">
        <f t="shared" si="108"/>
        <v>1.1474999999999999E-2</v>
      </c>
      <c r="K178" s="136">
        <f t="shared" si="108"/>
        <v>1.1474999999999999E-2</v>
      </c>
      <c r="L178" s="136">
        <f t="shared" si="108"/>
        <v>1.1474999999999999E-2</v>
      </c>
      <c r="M178" s="136">
        <f t="shared" si="108"/>
        <v>1.1474999999999999E-2</v>
      </c>
      <c r="N178" s="136">
        <f t="shared" si="108"/>
        <v>1.1474999999999999E-2</v>
      </c>
      <c r="O178" s="136">
        <f t="shared" si="108"/>
        <v>1.1474999999999999E-2</v>
      </c>
      <c r="P178" s="136">
        <f t="shared" si="108"/>
        <v>1.1474999999999999E-2</v>
      </c>
      <c r="Q178" s="136">
        <f t="shared" si="108"/>
        <v>1.1474999999999999E-2</v>
      </c>
      <c r="R178" s="136">
        <f t="shared" si="108"/>
        <v>1.1474999999999999E-2</v>
      </c>
      <c r="S178" s="136">
        <f t="shared" si="108"/>
        <v>1.1474999999999999E-2</v>
      </c>
      <c r="T178" s="136">
        <f t="shared" si="108"/>
        <v>1.1474999999999999E-2</v>
      </c>
      <c r="U178" s="136">
        <f t="shared" si="108"/>
        <v>1.1474999999999999E-2</v>
      </c>
      <c r="V178" s="180">
        <f t="shared" ref="V178:V179" si="109">SUM(B178:U178)</f>
        <v>0.22950000000000009</v>
      </c>
      <c r="W178" s="53">
        <f t="shared" ref="W178:W179" si="110">V178/20</f>
        <v>1.1475000000000004E-2</v>
      </c>
    </row>
    <row r="179" spans="1:25" s="3" customFormat="1" ht="12.75">
      <c r="A179" s="49" t="s">
        <v>664</v>
      </c>
      <c r="B179" s="30">
        <f>SUM(B177:B178)</f>
        <v>1.1474999999999999E-2</v>
      </c>
      <c r="C179" s="30">
        <f t="shared" ref="C179:U179" si="111">SUM(C177:C178)</f>
        <v>1.1474999999999999E-2</v>
      </c>
      <c r="D179" s="30">
        <f t="shared" si="111"/>
        <v>1.1474999999999999E-2</v>
      </c>
      <c r="E179" s="30">
        <f t="shared" si="111"/>
        <v>1.1474999999999999E-2</v>
      </c>
      <c r="F179" s="30">
        <f t="shared" si="111"/>
        <v>1.1474999999999999E-2</v>
      </c>
      <c r="G179" s="30">
        <f t="shared" si="111"/>
        <v>1.1474999999999999E-2</v>
      </c>
      <c r="H179" s="30">
        <f t="shared" si="111"/>
        <v>1.1474999999999999E-2</v>
      </c>
      <c r="I179" s="30">
        <f t="shared" si="111"/>
        <v>1.1474999999999999E-2</v>
      </c>
      <c r="J179" s="30">
        <f t="shared" si="111"/>
        <v>1.1474999999999999E-2</v>
      </c>
      <c r="K179" s="30">
        <f t="shared" si="111"/>
        <v>1.1474999999999999E-2</v>
      </c>
      <c r="L179" s="30">
        <f t="shared" si="111"/>
        <v>1.1474999999999999E-2</v>
      </c>
      <c r="M179" s="30">
        <f t="shared" si="111"/>
        <v>1.1474999999999999E-2</v>
      </c>
      <c r="N179" s="30">
        <f t="shared" si="111"/>
        <v>1.1474999999999999E-2</v>
      </c>
      <c r="O179" s="30">
        <f t="shared" si="111"/>
        <v>1.1474999999999999E-2</v>
      </c>
      <c r="P179" s="30">
        <f t="shared" si="111"/>
        <v>1.1474999999999999E-2</v>
      </c>
      <c r="Q179" s="30">
        <f t="shared" si="111"/>
        <v>1.1474999999999999E-2</v>
      </c>
      <c r="R179" s="30">
        <f t="shared" si="111"/>
        <v>1.1474999999999999E-2</v>
      </c>
      <c r="S179" s="30">
        <f t="shared" si="111"/>
        <v>1.1474999999999999E-2</v>
      </c>
      <c r="T179" s="30">
        <f t="shared" si="111"/>
        <v>1.1474999999999999E-2</v>
      </c>
      <c r="U179" s="30">
        <f t="shared" si="111"/>
        <v>1.1474999999999999E-2</v>
      </c>
      <c r="V179" s="180">
        <f t="shared" si="109"/>
        <v>0.22950000000000009</v>
      </c>
      <c r="W179" s="53">
        <f t="shared" si="110"/>
        <v>1.1475000000000004E-2</v>
      </c>
    </row>
    <row r="180" spans="1:25" ht="13.5" customHeight="1">
      <c r="A180" s="134" t="s">
        <v>123</v>
      </c>
      <c r="B180" s="52">
        <v>0.96618357487922713</v>
      </c>
      <c r="C180" s="52">
        <v>0.93351070036640305</v>
      </c>
      <c r="D180" s="52">
        <v>0.90194270566802237</v>
      </c>
      <c r="E180" s="52">
        <v>0.87144222769857238</v>
      </c>
      <c r="F180" s="52">
        <v>0.84197316685852419</v>
      </c>
      <c r="G180" s="52">
        <v>0.81350064430775282</v>
      </c>
      <c r="H180" s="52">
        <v>0.78599096068381913</v>
      </c>
      <c r="I180" s="52">
        <v>0.75941155621625056</v>
      </c>
      <c r="J180" s="52">
        <v>0.73373097218961414</v>
      </c>
      <c r="K180" s="52">
        <v>0.70891881370977217</v>
      </c>
      <c r="L180" s="52">
        <v>0.68494571372924851</v>
      </c>
      <c r="M180" s="52">
        <v>0.66178329828912896</v>
      </c>
      <c r="N180" s="52">
        <v>0.63940415293635666</v>
      </c>
      <c r="O180" s="52">
        <v>0.61778179027667302</v>
      </c>
      <c r="P180" s="52">
        <v>0.59689061862480497</v>
      </c>
      <c r="Q180" s="52">
        <v>0.57670591171478747</v>
      </c>
      <c r="R180" s="52">
        <v>0.55720377943457733</v>
      </c>
      <c r="S180" s="52">
        <v>0.53836113955031628</v>
      </c>
      <c r="T180" s="52">
        <v>0.52015569038677911</v>
      </c>
      <c r="U180" s="52">
        <v>0.50256588443167061</v>
      </c>
      <c r="V180" s="180"/>
      <c r="W180" s="133"/>
    </row>
    <row r="181" spans="1:25" s="81" customFormat="1" ht="12.75">
      <c r="A181" s="50" t="s">
        <v>1069</v>
      </c>
      <c r="B181" s="34">
        <f t="shared" ref="B181:U181" si="112">B180*B179</f>
        <v>1.108695652173913E-2</v>
      </c>
      <c r="C181" s="34">
        <f t="shared" si="112"/>
        <v>1.0712035286704474E-2</v>
      </c>
      <c r="D181" s="34">
        <f t="shared" si="112"/>
        <v>1.0349792547540556E-2</v>
      </c>
      <c r="E181" s="34">
        <f t="shared" si="112"/>
        <v>9.9997995628411177E-3</v>
      </c>
      <c r="F181" s="34">
        <f t="shared" si="112"/>
        <v>9.6616420897015637E-3</v>
      </c>
      <c r="G181" s="34">
        <f t="shared" si="112"/>
        <v>9.334919893431463E-3</v>
      </c>
      <c r="H181" s="34">
        <f t="shared" si="112"/>
        <v>9.0192462738468236E-3</v>
      </c>
      <c r="I181" s="34">
        <f t="shared" si="112"/>
        <v>8.7142476075814743E-3</v>
      </c>
      <c r="J181" s="34">
        <f t="shared" si="112"/>
        <v>8.4195629058758208E-3</v>
      </c>
      <c r="K181" s="34">
        <f t="shared" si="112"/>
        <v>8.1348433873196357E-3</v>
      </c>
      <c r="L181" s="34">
        <f t="shared" si="112"/>
        <v>7.8597520650431265E-3</v>
      </c>
      <c r="M181" s="34">
        <f t="shared" si="112"/>
        <v>7.5939633478677541E-3</v>
      </c>
      <c r="N181" s="34">
        <f t="shared" si="112"/>
        <v>7.3371626549446917E-3</v>
      </c>
      <c r="O181" s="34">
        <f t="shared" si="112"/>
        <v>7.0890460434248227E-3</v>
      </c>
      <c r="P181" s="34">
        <f t="shared" si="112"/>
        <v>6.8493198487196367E-3</v>
      </c>
      <c r="Q181" s="34">
        <f t="shared" si="112"/>
        <v>6.6177003369271856E-3</v>
      </c>
      <c r="R181" s="34">
        <f t="shared" si="112"/>
        <v>6.3939133690117745E-3</v>
      </c>
      <c r="S181" s="34">
        <f t="shared" si="112"/>
        <v>6.1776940763398789E-3</v>
      </c>
      <c r="T181" s="34">
        <f t="shared" si="112"/>
        <v>5.9687865471882897E-3</v>
      </c>
      <c r="U181" s="34">
        <f t="shared" si="112"/>
        <v>5.7669435238534199E-3</v>
      </c>
      <c r="V181" s="182">
        <f>SUM(B181:U181)</f>
        <v>0.16308732788990268</v>
      </c>
      <c r="W181" s="35"/>
    </row>
    <row r="182" spans="1:25" ht="12.75">
      <c r="A182" s="32"/>
      <c r="B182" s="136"/>
      <c r="C182" s="136"/>
      <c r="D182" s="136"/>
      <c r="E182" s="136"/>
      <c r="F182" s="136"/>
      <c r="G182" s="136"/>
      <c r="H182" s="136"/>
      <c r="I182" s="136"/>
      <c r="J182" s="136"/>
      <c r="K182" s="136"/>
      <c r="L182" s="136"/>
      <c r="M182" s="136"/>
      <c r="N182" s="136"/>
      <c r="O182" s="136"/>
      <c r="P182" s="136"/>
      <c r="Q182" s="136"/>
      <c r="R182" s="136"/>
      <c r="S182" s="136"/>
      <c r="T182" s="136"/>
      <c r="U182" s="136"/>
      <c r="V182" s="180"/>
      <c r="W182" s="53"/>
    </row>
    <row r="183" spans="1:25" ht="12.75">
      <c r="A183" s="138" t="s">
        <v>1097</v>
      </c>
      <c r="B183" s="136"/>
      <c r="C183" s="136"/>
      <c r="D183" s="136"/>
      <c r="E183" s="136"/>
      <c r="F183" s="136"/>
      <c r="G183" s="136"/>
      <c r="H183" s="136"/>
      <c r="I183" s="136"/>
      <c r="J183" s="136"/>
      <c r="K183" s="136"/>
      <c r="L183" s="136"/>
      <c r="M183" s="136"/>
      <c r="N183" s="136"/>
      <c r="O183" s="136"/>
      <c r="P183" s="136"/>
      <c r="Q183" s="136"/>
      <c r="R183" s="136"/>
      <c r="S183" s="136"/>
      <c r="T183" s="136"/>
      <c r="U183" s="136"/>
      <c r="V183" s="180"/>
      <c r="W183" s="53"/>
    </row>
    <row r="184" spans="1:25" ht="12.75">
      <c r="A184" s="200" t="s">
        <v>679</v>
      </c>
      <c r="B184" s="136">
        <v>0</v>
      </c>
      <c r="C184" s="136">
        <v>0</v>
      </c>
      <c r="D184" s="136">
        <v>0</v>
      </c>
      <c r="E184" s="136">
        <v>0</v>
      </c>
      <c r="F184" s="136">
        <v>0</v>
      </c>
      <c r="G184" s="136">
        <v>0</v>
      </c>
      <c r="H184" s="136">
        <v>0</v>
      </c>
      <c r="I184" s="136">
        <v>0</v>
      </c>
      <c r="J184" s="136">
        <v>0</v>
      </c>
      <c r="K184" s="136">
        <v>0</v>
      </c>
      <c r="L184" s="136">
        <v>0</v>
      </c>
      <c r="M184" s="136">
        <v>0</v>
      </c>
      <c r="N184" s="136">
        <v>0</v>
      </c>
      <c r="O184" s="136">
        <v>0</v>
      </c>
      <c r="P184" s="136">
        <v>0</v>
      </c>
      <c r="Q184" s="136">
        <v>0</v>
      </c>
      <c r="R184" s="136">
        <v>0</v>
      </c>
      <c r="S184" s="136">
        <v>0</v>
      </c>
      <c r="T184" s="136">
        <v>0</v>
      </c>
      <c r="U184" s="136">
        <v>0</v>
      </c>
      <c r="V184" s="180">
        <f>SUM(B184:U184)</f>
        <v>0</v>
      </c>
      <c r="W184" s="53">
        <f>V184/20</f>
        <v>0</v>
      </c>
    </row>
    <row r="185" spans="1:25" ht="12.75">
      <c r="A185" s="200" t="s">
        <v>680</v>
      </c>
      <c r="B185" s="136">
        <f t="shared" ref="B185:U185" si="113">B26</f>
        <v>0</v>
      </c>
      <c r="C185" s="136">
        <f t="shared" si="113"/>
        <v>0</v>
      </c>
      <c r="D185" s="136">
        <f t="shared" si="113"/>
        <v>0</v>
      </c>
      <c r="E185" s="136">
        <f t="shared" si="113"/>
        <v>0</v>
      </c>
      <c r="F185" s="136">
        <f t="shared" si="113"/>
        <v>0</v>
      </c>
      <c r="G185" s="136">
        <f t="shared" si="113"/>
        <v>0</v>
      </c>
      <c r="H185" s="136">
        <f t="shared" si="113"/>
        <v>0</v>
      </c>
      <c r="I185" s="136">
        <f t="shared" si="113"/>
        <v>0</v>
      </c>
      <c r="J185" s="136">
        <f t="shared" si="113"/>
        <v>0</v>
      </c>
      <c r="K185" s="136">
        <f t="shared" si="113"/>
        <v>0</v>
      </c>
      <c r="L185" s="136">
        <f t="shared" si="113"/>
        <v>0</v>
      </c>
      <c r="M185" s="136">
        <f t="shared" si="113"/>
        <v>0</v>
      </c>
      <c r="N185" s="136">
        <f t="shared" si="113"/>
        <v>0</v>
      </c>
      <c r="O185" s="136">
        <f t="shared" si="113"/>
        <v>0</v>
      </c>
      <c r="P185" s="136">
        <f t="shared" si="113"/>
        <v>0</v>
      </c>
      <c r="Q185" s="136">
        <f t="shared" si="113"/>
        <v>0</v>
      </c>
      <c r="R185" s="136">
        <f t="shared" si="113"/>
        <v>0</v>
      </c>
      <c r="S185" s="136">
        <f t="shared" si="113"/>
        <v>0</v>
      </c>
      <c r="T185" s="136">
        <f t="shared" si="113"/>
        <v>0</v>
      </c>
      <c r="U185" s="136">
        <f t="shared" si="113"/>
        <v>0</v>
      </c>
      <c r="V185" s="180">
        <f t="shared" ref="V185:V186" si="114">SUM(B185:U185)</f>
        <v>0</v>
      </c>
      <c r="W185" s="53">
        <f t="shared" ref="W185:W186" si="115">V185/20</f>
        <v>0</v>
      </c>
    </row>
    <row r="186" spans="1:25" s="3" customFormat="1" ht="12.75">
      <c r="A186" s="49" t="s">
        <v>664</v>
      </c>
      <c r="B186" s="30">
        <f>SUM(B184:B185)</f>
        <v>0</v>
      </c>
      <c r="C186" s="30">
        <f t="shared" ref="C186:U186" si="116">SUM(C184:C185)</f>
        <v>0</v>
      </c>
      <c r="D186" s="30">
        <f t="shared" si="116"/>
        <v>0</v>
      </c>
      <c r="E186" s="30">
        <f t="shared" si="116"/>
        <v>0</v>
      </c>
      <c r="F186" s="30">
        <f t="shared" si="116"/>
        <v>0</v>
      </c>
      <c r="G186" s="30">
        <f t="shared" si="116"/>
        <v>0</v>
      </c>
      <c r="H186" s="30">
        <f t="shared" si="116"/>
        <v>0</v>
      </c>
      <c r="I186" s="30">
        <f t="shared" si="116"/>
        <v>0</v>
      </c>
      <c r="J186" s="30">
        <f t="shared" si="116"/>
        <v>0</v>
      </c>
      <c r="K186" s="30">
        <f t="shared" si="116"/>
        <v>0</v>
      </c>
      <c r="L186" s="30">
        <f t="shared" si="116"/>
        <v>0</v>
      </c>
      <c r="M186" s="30">
        <f t="shared" si="116"/>
        <v>0</v>
      </c>
      <c r="N186" s="30">
        <f t="shared" si="116"/>
        <v>0</v>
      </c>
      <c r="O186" s="30">
        <f t="shared" si="116"/>
        <v>0</v>
      </c>
      <c r="P186" s="30">
        <f t="shared" si="116"/>
        <v>0</v>
      </c>
      <c r="Q186" s="30">
        <f t="shared" si="116"/>
        <v>0</v>
      </c>
      <c r="R186" s="30">
        <f t="shared" si="116"/>
        <v>0</v>
      </c>
      <c r="S186" s="30">
        <f t="shared" si="116"/>
        <v>0</v>
      </c>
      <c r="T186" s="30">
        <f t="shared" si="116"/>
        <v>0</v>
      </c>
      <c r="U186" s="30">
        <f t="shared" si="116"/>
        <v>0</v>
      </c>
      <c r="V186" s="180">
        <f t="shared" si="114"/>
        <v>0</v>
      </c>
      <c r="W186" s="53">
        <f t="shared" si="115"/>
        <v>0</v>
      </c>
      <c r="Y186" s="100"/>
    </row>
    <row r="187" spans="1:25" ht="13.5" customHeight="1">
      <c r="A187" s="134" t="s">
        <v>123</v>
      </c>
      <c r="B187" s="52">
        <v>0.96618357487922713</v>
      </c>
      <c r="C187" s="52">
        <v>0.93351070036640305</v>
      </c>
      <c r="D187" s="52">
        <v>0.90194270566802237</v>
      </c>
      <c r="E187" s="52">
        <v>0.87144222769857238</v>
      </c>
      <c r="F187" s="52">
        <v>0.84197316685852419</v>
      </c>
      <c r="G187" s="52">
        <v>0.81350064430775282</v>
      </c>
      <c r="H187" s="52">
        <v>0.78599096068381913</v>
      </c>
      <c r="I187" s="52">
        <v>0.75941155621625056</v>
      </c>
      <c r="J187" s="52">
        <v>0.73373097218961414</v>
      </c>
      <c r="K187" s="52">
        <v>0.70891881370977217</v>
      </c>
      <c r="L187" s="52">
        <v>0.68494571372924851</v>
      </c>
      <c r="M187" s="52">
        <v>0.66178329828912896</v>
      </c>
      <c r="N187" s="52">
        <v>0.63940415293635666</v>
      </c>
      <c r="O187" s="52">
        <v>0.61778179027667302</v>
      </c>
      <c r="P187" s="52">
        <v>0.59689061862480497</v>
      </c>
      <c r="Q187" s="52">
        <v>0.57670591171478747</v>
      </c>
      <c r="R187" s="52">
        <v>0.55720377943457733</v>
      </c>
      <c r="S187" s="52">
        <v>0.53836113955031628</v>
      </c>
      <c r="T187" s="52">
        <v>0.52015569038677911</v>
      </c>
      <c r="U187" s="52">
        <v>0.50256588443167061</v>
      </c>
      <c r="V187" s="180"/>
      <c r="W187" s="133"/>
      <c r="Y187" s="100"/>
    </row>
    <row r="188" spans="1:25" s="81" customFormat="1" ht="12.75">
      <c r="A188" s="50" t="s">
        <v>1069</v>
      </c>
      <c r="B188" s="34">
        <f t="shared" ref="B188:U188" si="117">B187*B186</f>
        <v>0</v>
      </c>
      <c r="C188" s="34">
        <f t="shared" si="117"/>
        <v>0</v>
      </c>
      <c r="D188" s="34">
        <f t="shared" si="117"/>
        <v>0</v>
      </c>
      <c r="E188" s="34">
        <f t="shared" si="117"/>
        <v>0</v>
      </c>
      <c r="F188" s="34">
        <f t="shared" si="117"/>
        <v>0</v>
      </c>
      <c r="G188" s="34">
        <f t="shared" si="117"/>
        <v>0</v>
      </c>
      <c r="H188" s="34">
        <f t="shared" si="117"/>
        <v>0</v>
      </c>
      <c r="I188" s="34">
        <f t="shared" si="117"/>
        <v>0</v>
      </c>
      <c r="J188" s="34">
        <f t="shared" si="117"/>
        <v>0</v>
      </c>
      <c r="K188" s="34">
        <f t="shared" si="117"/>
        <v>0</v>
      </c>
      <c r="L188" s="34">
        <f t="shared" si="117"/>
        <v>0</v>
      </c>
      <c r="M188" s="34">
        <f t="shared" si="117"/>
        <v>0</v>
      </c>
      <c r="N188" s="34">
        <f t="shared" si="117"/>
        <v>0</v>
      </c>
      <c r="O188" s="34">
        <f t="shared" si="117"/>
        <v>0</v>
      </c>
      <c r="P188" s="34">
        <f t="shared" si="117"/>
        <v>0</v>
      </c>
      <c r="Q188" s="34">
        <f t="shared" si="117"/>
        <v>0</v>
      </c>
      <c r="R188" s="34">
        <f t="shared" si="117"/>
        <v>0</v>
      </c>
      <c r="S188" s="34">
        <f t="shared" si="117"/>
        <v>0</v>
      </c>
      <c r="T188" s="34">
        <f t="shared" si="117"/>
        <v>0</v>
      </c>
      <c r="U188" s="34">
        <f t="shared" si="117"/>
        <v>0</v>
      </c>
      <c r="V188" s="182">
        <f>SUM(B188:U188)</f>
        <v>0</v>
      </c>
      <c r="W188" s="35"/>
    </row>
    <row r="189" spans="1:25" ht="12.75">
      <c r="A189" s="32"/>
      <c r="B189" s="136"/>
      <c r="C189" s="136"/>
      <c r="D189" s="136"/>
      <c r="E189" s="136"/>
      <c r="F189" s="136"/>
      <c r="G189" s="136"/>
      <c r="H189" s="136"/>
      <c r="I189" s="136"/>
      <c r="J189" s="136"/>
      <c r="K189" s="136"/>
      <c r="L189" s="136"/>
      <c r="M189" s="136"/>
      <c r="N189" s="136"/>
      <c r="O189" s="136"/>
      <c r="P189" s="136"/>
      <c r="Q189" s="136"/>
      <c r="R189" s="136"/>
      <c r="S189" s="136"/>
      <c r="T189" s="136"/>
      <c r="U189" s="136"/>
      <c r="V189" s="180"/>
      <c r="W189" s="53"/>
    </row>
    <row r="190" spans="1:25" ht="12.75">
      <c r="A190" s="138" t="s">
        <v>1098</v>
      </c>
      <c r="B190" s="136"/>
      <c r="C190" s="136"/>
      <c r="D190" s="136"/>
      <c r="E190" s="136"/>
      <c r="F190" s="136"/>
      <c r="G190" s="136"/>
      <c r="H190" s="136"/>
      <c r="I190" s="136"/>
      <c r="J190" s="136"/>
      <c r="K190" s="136"/>
      <c r="L190" s="136"/>
      <c r="M190" s="136"/>
      <c r="N190" s="136"/>
      <c r="O190" s="136"/>
      <c r="P190" s="136"/>
      <c r="Q190" s="136"/>
      <c r="R190" s="136"/>
      <c r="S190" s="136"/>
      <c r="T190" s="136"/>
      <c r="U190" s="136"/>
      <c r="V190" s="180"/>
      <c r="W190" s="53"/>
    </row>
    <row r="191" spans="1:25" ht="12.75">
      <c r="A191" s="200" t="s">
        <v>679</v>
      </c>
      <c r="B191" s="136">
        <f t="shared" ref="B191:U191" si="118">B14</f>
        <v>6.7499999999999999E-3</v>
      </c>
      <c r="C191" s="136">
        <f t="shared" si="118"/>
        <v>0</v>
      </c>
      <c r="D191" s="136">
        <f t="shared" si="118"/>
        <v>0</v>
      </c>
      <c r="E191" s="136">
        <f t="shared" si="118"/>
        <v>6.7499999999999999E-3</v>
      </c>
      <c r="F191" s="136">
        <f t="shared" si="118"/>
        <v>0</v>
      </c>
      <c r="G191" s="136">
        <f t="shared" si="118"/>
        <v>0</v>
      </c>
      <c r="H191" s="136">
        <f t="shared" si="118"/>
        <v>6.7499999999999999E-3</v>
      </c>
      <c r="I191" s="136">
        <f t="shared" si="118"/>
        <v>0</v>
      </c>
      <c r="J191" s="136">
        <f t="shared" si="118"/>
        <v>0</v>
      </c>
      <c r="K191" s="136">
        <f t="shared" si="118"/>
        <v>6.7499999999999999E-3</v>
      </c>
      <c r="L191" s="136">
        <f t="shared" si="118"/>
        <v>0</v>
      </c>
      <c r="M191" s="136">
        <f t="shared" si="118"/>
        <v>0</v>
      </c>
      <c r="N191" s="136">
        <f t="shared" si="118"/>
        <v>6.7499999999999999E-3</v>
      </c>
      <c r="O191" s="136">
        <f t="shared" si="118"/>
        <v>0</v>
      </c>
      <c r="P191" s="136">
        <f t="shared" si="118"/>
        <v>0</v>
      </c>
      <c r="Q191" s="136">
        <f t="shared" si="118"/>
        <v>6.7499999999999999E-3</v>
      </c>
      <c r="R191" s="136">
        <f t="shared" si="118"/>
        <v>0</v>
      </c>
      <c r="S191" s="136">
        <f t="shared" si="118"/>
        <v>0</v>
      </c>
      <c r="T191" s="136">
        <f t="shared" si="118"/>
        <v>6.7499999999999999E-3</v>
      </c>
      <c r="U191" s="136">
        <f t="shared" si="118"/>
        <v>0</v>
      </c>
      <c r="V191" s="180">
        <f>SUM(B191:U191)</f>
        <v>4.725E-2</v>
      </c>
      <c r="W191" s="53">
        <f>V191/20</f>
        <v>2.3625E-3</v>
      </c>
    </row>
    <row r="192" spans="1:25" ht="12.75">
      <c r="A192" s="200" t="s">
        <v>680</v>
      </c>
      <c r="B192" s="136">
        <v>0</v>
      </c>
      <c r="C192" s="136">
        <v>0</v>
      </c>
      <c r="D192" s="136">
        <v>0</v>
      </c>
      <c r="E192" s="136">
        <v>0</v>
      </c>
      <c r="F192" s="136">
        <v>0</v>
      </c>
      <c r="G192" s="136">
        <v>0</v>
      </c>
      <c r="H192" s="136">
        <v>0</v>
      </c>
      <c r="I192" s="136">
        <v>0</v>
      </c>
      <c r="J192" s="136">
        <v>0</v>
      </c>
      <c r="K192" s="136">
        <v>0</v>
      </c>
      <c r="L192" s="136">
        <v>0</v>
      </c>
      <c r="M192" s="136">
        <v>0</v>
      </c>
      <c r="N192" s="136">
        <v>0</v>
      </c>
      <c r="O192" s="136">
        <v>0</v>
      </c>
      <c r="P192" s="136">
        <v>0</v>
      </c>
      <c r="Q192" s="136">
        <v>0</v>
      </c>
      <c r="R192" s="136">
        <v>0</v>
      </c>
      <c r="S192" s="136">
        <v>0</v>
      </c>
      <c r="T192" s="136">
        <v>0</v>
      </c>
      <c r="U192" s="136">
        <v>0</v>
      </c>
      <c r="V192" s="180">
        <f t="shared" ref="V192:V193" si="119">SUM(B192:U192)</f>
        <v>0</v>
      </c>
      <c r="W192" s="53">
        <f t="shared" ref="W192:W193" si="120">V192/20</f>
        <v>0</v>
      </c>
    </row>
    <row r="193" spans="1:23" s="3" customFormat="1" ht="12.75">
      <c r="A193" s="49" t="s">
        <v>664</v>
      </c>
      <c r="B193" s="30">
        <f>SUM(B191:B192)</f>
        <v>6.7499999999999999E-3</v>
      </c>
      <c r="C193" s="30">
        <f t="shared" ref="C193:U193" si="121">SUM(C191:C192)</f>
        <v>0</v>
      </c>
      <c r="D193" s="30">
        <f t="shared" si="121"/>
        <v>0</v>
      </c>
      <c r="E193" s="30">
        <f t="shared" si="121"/>
        <v>6.7499999999999999E-3</v>
      </c>
      <c r="F193" s="30">
        <f t="shared" si="121"/>
        <v>0</v>
      </c>
      <c r="G193" s="30">
        <f t="shared" si="121"/>
        <v>0</v>
      </c>
      <c r="H193" s="30">
        <f t="shared" si="121"/>
        <v>6.7499999999999999E-3</v>
      </c>
      <c r="I193" s="30">
        <f t="shared" si="121"/>
        <v>0</v>
      </c>
      <c r="J193" s="30">
        <f t="shared" si="121"/>
        <v>0</v>
      </c>
      <c r="K193" s="30">
        <f t="shared" si="121"/>
        <v>6.7499999999999999E-3</v>
      </c>
      <c r="L193" s="30">
        <f t="shared" si="121"/>
        <v>0</v>
      </c>
      <c r="M193" s="30">
        <f t="shared" si="121"/>
        <v>0</v>
      </c>
      <c r="N193" s="30">
        <f t="shared" si="121"/>
        <v>6.7499999999999999E-3</v>
      </c>
      <c r="O193" s="30">
        <f t="shared" si="121"/>
        <v>0</v>
      </c>
      <c r="P193" s="30">
        <f t="shared" si="121"/>
        <v>0</v>
      </c>
      <c r="Q193" s="30">
        <f t="shared" si="121"/>
        <v>6.7499999999999999E-3</v>
      </c>
      <c r="R193" s="30">
        <f t="shared" si="121"/>
        <v>0</v>
      </c>
      <c r="S193" s="30">
        <f t="shared" si="121"/>
        <v>0</v>
      </c>
      <c r="T193" s="30">
        <f t="shared" si="121"/>
        <v>6.7499999999999999E-3</v>
      </c>
      <c r="U193" s="30">
        <f t="shared" si="121"/>
        <v>0</v>
      </c>
      <c r="V193" s="180">
        <f t="shared" si="119"/>
        <v>4.725E-2</v>
      </c>
      <c r="W193" s="53">
        <f t="shared" si="120"/>
        <v>2.3625E-3</v>
      </c>
    </row>
    <row r="194" spans="1:23" ht="13.5" customHeight="1">
      <c r="A194" s="134" t="s">
        <v>123</v>
      </c>
      <c r="B194" s="52">
        <v>0.96618357487922713</v>
      </c>
      <c r="C194" s="52">
        <v>0.93351070036640305</v>
      </c>
      <c r="D194" s="52">
        <v>0.90194270566802237</v>
      </c>
      <c r="E194" s="52">
        <v>0.87144222769857238</v>
      </c>
      <c r="F194" s="52">
        <v>0.84197316685852419</v>
      </c>
      <c r="G194" s="52">
        <v>0.81350064430775282</v>
      </c>
      <c r="H194" s="52">
        <v>0.78599096068381913</v>
      </c>
      <c r="I194" s="52">
        <v>0.75941155621625056</v>
      </c>
      <c r="J194" s="52">
        <v>0.73373097218961414</v>
      </c>
      <c r="K194" s="52">
        <v>0.70891881370977217</v>
      </c>
      <c r="L194" s="52">
        <v>0.68494571372924851</v>
      </c>
      <c r="M194" s="52">
        <v>0.66178329828912896</v>
      </c>
      <c r="N194" s="52">
        <v>0.63940415293635666</v>
      </c>
      <c r="O194" s="52">
        <v>0.61778179027667302</v>
      </c>
      <c r="P194" s="52">
        <v>0.59689061862480497</v>
      </c>
      <c r="Q194" s="52">
        <v>0.57670591171478747</v>
      </c>
      <c r="R194" s="52">
        <v>0.55720377943457733</v>
      </c>
      <c r="S194" s="52">
        <v>0.53836113955031628</v>
      </c>
      <c r="T194" s="52">
        <v>0.52015569038677911</v>
      </c>
      <c r="U194" s="52">
        <v>0.50256588443167061</v>
      </c>
      <c r="V194" s="180"/>
      <c r="W194" s="133"/>
    </row>
    <row r="195" spans="1:23" s="81" customFormat="1" ht="12.75">
      <c r="A195" s="50" t="s">
        <v>1069</v>
      </c>
      <c r="B195" s="34">
        <f t="shared" ref="B195:U195" si="122">B194*B193</f>
        <v>6.5217391304347831E-3</v>
      </c>
      <c r="C195" s="34">
        <f t="shared" si="122"/>
        <v>0</v>
      </c>
      <c r="D195" s="34">
        <f t="shared" si="122"/>
        <v>0</v>
      </c>
      <c r="E195" s="34">
        <f t="shared" si="122"/>
        <v>5.8822350369653635E-3</v>
      </c>
      <c r="F195" s="34">
        <f t="shared" si="122"/>
        <v>0</v>
      </c>
      <c r="G195" s="34">
        <f t="shared" si="122"/>
        <v>0</v>
      </c>
      <c r="H195" s="34">
        <f t="shared" si="122"/>
        <v>5.3054389846157787E-3</v>
      </c>
      <c r="I195" s="34">
        <f t="shared" si="122"/>
        <v>0</v>
      </c>
      <c r="J195" s="34">
        <f t="shared" si="122"/>
        <v>0</v>
      </c>
      <c r="K195" s="34">
        <f t="shared" si="122"/>
        <v>4.785201992540962E-3</v>
      </c>
      <c r="L195" s="34">
        <f t="shared" si="122"/>
        <v>0</v>
      </c>
      <c r="M195" s="34">
        <f t="shared" si="122"/>
        <v>0</v>
      </c>
      <c r="N195" s="34">
        <f t="shared" si="122"/>
        <v>4.3159780323204075E-3</v>
      </c>
      <c r="O195" s="34">
        <f t="shared" si="122"/>
        <v>0</v>
      </c>
      <c r="P195" s="34">
        <f t="shared" si="122"/>
        <v>0</v>
      </c>
      <c r="Q195" s="34">
        <f t="shared" si="122"/>
        <v>3.8927649040748154E-3</v>
      </c>
      <c r="R195" s="34">
        <f t="shared" si="122"/>
        <v>0</v>
      </c>
      <c r="S195" s="34">
        <f t="shared" si="122"/>
        <v>0</v>
      </c>
      <c r="T195" s="34">
        <f t="shared" si="122"/>
        <v>3.5110509101107588E-3</v>
      </c>
      <c r="U195" s="34">
        <f t="shared" si="122"/>
        <v>0</v>
      </c>
      <c r="V195" s="182">
        <f>SUM(B195:U195)</f>
        <v>3.4214408991062872E-2</v>
      </c>
      <c r="W195" s="35"/>
    </row>
    <row r="196" spans="1:23" s="81" customFormat="1" thickBot="1">
      <c r="A196" s="37"/>
      <c r="B196" s="38"/>
      <c r="C196" s="38"/>
      <c r="D196" s="38"/>
      <c r="E196" s="38"/>
      <c r="F196" s="38"/>
      <c r="G196" s="38"/>
      <c r="H196" s="38"/>
      <c r="I196" s="38"/>
      <c r="J196" s="38"/>
      <c r="K196" s="38"/>
      <c r="L196" s="38"/>
      <c r="M196" s="38"/>
      <c r="N196" s="38"/>
      <c r="O196" s="38"/>
      <c r="P196" s="38"/>
      <c r="Q196" s="38"/>
      <c r="R196" s="38"/>
      <c r="S196" s="38"/>
      <c r="T196" s="38"/>
      <c r="U196" s="38"/>
      <c r="V196" s="183"/>
      <c r="W196" s="39"/>
    </row>
    <row r="197" spans="1:23" ht="12.75">
      <c r="A197" s="174"/>
      <c r="B197" s="128"/>
      <c r="C197" s="128"/>
      <c r="D197" s="128"/>
      <c r="E197" s="128"/>
      <c r="F197" s="128"/>
      <c r="G197" s="128"/>
      <c r="H197" s="128"/>
      <c r="I197" s="128"/>
      <c r="J197" s="128"/>
      <c r="K197" s="128"/>
      <c r="L197" s="128"/>
      <c r="M197" s="128"/>
      <c r="N197" s="128"/>
      <c r="O197" s="128"/>
      <c r="P197" s="128"/>
      <c r="Q197" s="128"/>
      <c r="R197" s="128"/>
      <c r="S197" s="128"/>
      <c r="T197" s="128"/>
      <c r="U197" s="128"/>
      <c r="V197" s="178"/>
      <c r="W197" s="130"/>
    </row>
    <row r="198" spans="1:23" ht="12.75">
      <c r="A198" s="158" t="s">
        <v>1043</v>
      </c>
      <c r="B198" s="81"/>
      <c r="C198" s="81"/>
      <c r="D198" s="81"/>
      <c r="E198" s="81"/>
      <c r="F198" s="81"/>
      <c r="G198" s="81"/>
      <c r="H198" s="81"/>
      <c r="I198" s="81"/>
      <c r="J198" s="81"/>
      <c r="K198" s="81"/>
      <c r="L198" s="81"/>
      <c r="M198" s="81"/>
      <c r="N198" s="81"/>
      <c r="O198" s="81"/>
      <c r="P198" s="81"/>
      <c r="Q198" s="81"/>
      <c r="R198" s="81"/>
      <c r="S198" s="81"/>
      <c r="T198" s="81"/>
      <c r="U198" s="81"/>
      <c r="V198" s="179"/>
      <c r="W198" s="140"/>
    </row>
    <row r="199" spans="1:23" s="81" customFormat="1" ht="12.75">
      <c r="A199" s="33"/>
      <c r="B199" s="34"/>
      <c r="C199" s="34"/>
      <c r="D199" s="34"/>
      <c r="E199" s="34"/>
      <c r="F199" s="34"/>
      <c r="G199" s="34"/>
      <c r="H199" s="34"/>
      <c r="I199" s="34"/>
      <c r="J199" s="34"/>
      <c r="K199" s="34"/>
      <c r="L199" s="34"/>
      <c r="M199" s="34"/>
      <c r="N199" s="34"/>
      <c r="O199" s="34"/>
      <c r="P199" s="34"/>
      <c r="Q199" s="34"/>
      <c r="R199" s="34"/>
      <c r="S199" s="34"/>
      <c r="T199" s="34"/>
      <c r="U199" s="34"/>
      <c r="V199" s="182"/>
      <c r="W199" s="35"/>
    </row>
    <row r="200" spans="1:23" ht="12.75">
      <c r="A200" s="139" t="s">
        <v>1011</v>
      </c>
      <c r="B200" s="81"/>
      <c r="C200" s="81"/>
      <c r="D200" s="81"/>
      <c r="E200" s="81"/>
      <c r="F200" s="81"/>
      <c r="G200" s="81"/>
      <c r="H200" s="81"/>
      <c r="I200" s="81"/>
      <c r="J200" s="81"/>
      <c r="K200" s="81"/>
      <c r="L200" s="81"/>
      <c r="M200" s="81"/>
      <c r="N200" s="81"/>
      <c r="O200" s="81"/>
      <c r="P200" s="81"/>
      <c r="Q200" s="81"/>
      <c r="R200" s="81"/>
      <c r="S200" s="81"/>
      <c r="T200" s="81"/>
      <c r="U200" s="81"/>
      <c r="V200" s="179"/>
      <c r="W200" s="140"/>
    </row>
    <row r="201" spans="1:23" ht="12.75">
      <c r="A201" s="200" t="s">
        <v>679</v>
      </c>
      <c r="B201" s="136">
        <f t="shared" ref="B201:U201" si="123">B103</f>
        <v>2.7E-2</v>
      </c>
      <c r="C201" s="136">
        <f t="shared" si="123"/>
        <v>0</v>
      </c>
      <c r="D201" s="136">
        <f t="shared" si="123"/>
        <v>0</v>
      </c>
      <c r="E201" s="136">
        <f t="shared" si="123"/>
        <v>2.7E-2</v>
      </c>
      <c r="F201" s="136">
        <f t="shared" si="123"/>
        <v>0</v>
      </c>
      <c r="G201" s="136">
        <f t="shared" si="123"/>
        <v>0</v>
      </c>
      <c r="H201" s="136">
        <f t="shared" si="123"/>
        <v>2.7E-2</v>
      </c>
      <c r="I201" s="136">
        <f t="shared" si="123"/>
        <v>0</v>
      </c>
      <c r="J201" s="136">
        <f t="shared" si="123"/>
        <v>0</v>
      </c>
      <c r="K201" s="136">
        <f t="shared" si="123"/>
        <v>2.7E-2</v>
      </c>
      <c r="L201" s="136">
        <f t="shared" si="123"/>
        <v>0</v>
      </c>
      <c r="M201" s="136">
        <f t="shared" si="123"/>
        <v>0</v>
      </c>
      <c r="N201" s="136">
        <f t="shared" si="123"/>
        <v>2.7E-2</v>
      </c>
      <c r="O201" s="136">
        <f t="shared" si="123"/>
        <v>0</v>
      </c>
      <c r="P201" s="136">
        <f t="shared" si="123"/>
        <v>0</v>
      </c>
      <c r="Q201" s="136">
        <f t="shared" si="123"/>
        <v>2.7E-2</v>
      </c>
      <c r="R201" s="136">
        <f t="shared" si="123"/>
        <v>0</v>
      </c>
      <c r="S201" s="136">
        <f t="shared" si="123"/>
        <v>0</v>
      </c>
      <c r="T201" s="136">
        <f t="shared" si="123"/>
        <v>2.7E-2</v>
      </c>
      <c r="U201" s="136">
        <f t="shared" si="123"/>
        <v>0</v>
      </c>
      <c r="V201" s="180">
        <f>SUM(B201:U201)</f>
        <v>0.189</v>
      </c>
      <c r="W201" s="53">
        <f>V201/20</f>
        <v>9.4500000000000001E-3</v>
      </c>
    </row>
    <row r="202" spans="1:23" ht="12.75">
      <c r="A202" s="200" t="s">
        <v>680</v>
      </c>
      <c r="B202" s="136">
        <v>0</v>
      </c>
      <c r="C202" s="136">
        <v>0</v>
      </c>
      <c r="D202" s="136">
        <v>0</v>
      </c>
      <c r="E202" s="136">
        <v>0</v>
      </c>
      <c r="F202" s="136">
        <v>0</v>
      </c>
      <c r="G202" s="136">
        <v>0</v>
      </c>
      <c r="H202" s="136">
        <v>0</v>
      </c>
      <c r="I202" s="136">
        <v>0</v>
      </c>
      <c r="J202" s="136">
        <v>0</v>
      </c>
      <c r="K202" s="136">
        <v>0</v>
      </c>
      <c r="L202" s="136">
        <v>0</v>
      </c>
      <c r="M202" s="136">
        <v>0</v>
      </c>
      <c r="N202" s="136">
        <v>0</v>
      </c>
      <c r="O202" s="136">
        <v>0</v>
      </c>
      <c r="P202" s="136">
        <v>0</v>
      </c>
      <c r="Q202" s="136">
        <v>0</v>
      </c>
      <c r="R202" s="136">
        <v>0</v>
      </c>
      <c r="S202" s="136">
        <v>0</v>
      </c>
      <c r="T202" s="136">
        <v>0</v>
      </c>
      <c r="U202" s="136">
        <v>0</v>
      </c>
      <c r="V202" s="180">
        <f t="shared" ref="V202:V203" si="124">SUM(B202:U202)</f>
        <v>0</v>
      </c>
      <c r="W202" s="53">
        <f t="shared" ref="W202:W203" si="125">V202/20</f>
        <v>0</v>
      </c>
    </row>
    <row r="203" spans="1:23" s="3" customFormat="1" ht="12.75">
      <c r="A203" s="49" t="s">
        <v>664</v>
      </c>
      <c r="B203" s="30">
        <f>SUM(B201:B202)</f>
        <v>2.7E-2</v>
      </c>
      <c r="C203" s="30">
        <f t="shared" ref="C203:U203" si="126">SUM(C201:C202)</f>
        <v>0</v>
      </c>
      <c r="D203" s="30">
        <f t="shared" si="126"/>
        <v>0</v>
      </c>
      <c r="E203" s="30">
        <f t="shared" si="126"/>
        <v>2.7E-2</v>
      </c>
      <c r="F203" s="30">
        <f t="shared" si="126"/>
        <v>0</v>
      </c>
      <c r="G203" s="30">
        <f t="shared" si="126"/>
        <v>0</v>
      </c>
      <c r="H203" s="30">
        <f t="shared" si="126"/>
        <v>2.7E-2</v>
      </c>
      <c r="I203" s="30">
        <f t="shared" si="126"/>
        <v>0</v>
      </c>
      <c r="J203" s="30">
        <f t="shared" si="126"/>
        <v>0</v>
      </c>
      <c r="K203" s="30">
        <f t="shared" si="126"/>
        <v>2.7E-2</v>
      </c>
      <c r="L203" s="30">
        <f t="shared" si="126"/>
        <v>0</v>
      </c>
      <c r="M203" s="30">
        <f t="shared" si="126"/>
        <v>0</v>
      </c>
      <c r="N203" s="30">
        <f t="shared" si="126"/>
        <v>2.7E-2</v>
      </c>
      <c r="O203" s="30">
        <f t="shared" si="126"/>
        <v>0</v>
      </c>
      <c r="P203" s="30">
        <f t="shared" si="126"/>
        <v>0</v>
      </c>
      <c r="Q203" s="30">
        <f t="shared" si="126"/>
        <v>2.7E-2</v>
      </c>
      <c r="R203" s="30">
        <f t="shared" si="126"/>
        <v>0</v>
      </c>
      <c r="S203" s="30">
        <f t="shared" si="126"/>
        <v>0</v>
      </c>
      <c r="T203" s="30">
        <f t="shared" si="126"/>
        <v>2.7E-2</v>
      </c>
      <c r="U203" s="30">
        <f t="shared" si="126"/>
        <v>0</v>
      </c>
      <c r="V203" s="180">
        <f t="shared" si="124"/>
        <v>0.189</v>
      </c>
      <c r="W203" s="53">
        <f t="shared" si="125"/>
        <v>9.4500000000000001E-3</v>
      </c>
    </row>
    <row r="204" spans="1:23" ht="13.5" customHeight="1">
      <c r="A204" s="134" t="s">
        <v>123</v>
      </c>
      <c r="B204" s="52">
        <v>0.96618357487922713</v>
      </c>
      <c r="C204" s="52">
        <v>0.93351070036640305</v>
      </c>
      <c r="D204" s="52">
        <v>0.90194270566802237</v>
      </c>
      <c r="E204" s="52">
        <v>0.87144222769857238</v>
      </c>
      <c r="F204" s="52">
        <v>0.84197316685852419</v>
      </c>
      <c r="G204" s="52">
        <v>0.81350064430775282</v>
      </c>
      <c r="H204" s="52">
        <v>0.78599096068381913</v>
      </c>
      <c r="I204" s="52">
        <v>0.75941155621625056</v>
      </c>
      <c r="J204" s="52">
        <v>0.73373097218961414</v>
      </c>
      <c r="K204" s="52">
        <v>0.70891881370977217</v>
      </c>
      <c r="L204" s="52">
        <v>0.68494571372924851</v>
      </c>
      <c r="M204" s="52">
        <v>0.66178329828912896</v>
      </c>
      <c r="N204" s="52">
        <v>0.63940415293635666</v>
      </c>
      <c r="O204" s="52">
        <v>0.61778179027667302</v>
      </c>
      <c r="P204" s="52">
        <v>0.59689061862480497</v>
      </c>
      <c r="Q204" s="52">
        <v>0.57670591171478747</v>
      </c>
      <c r="R204" s="52">
        <v>0.55720377943457733</v>
      </c>
      <c r="S204" s="52">
        <v>0.53836113955031628</v>
      </c>
      <c r="T204" s="52">
        <v>0.52015569038677911</v>
      </c>
      <c r="U204" s="52">
        <v>0.50256588443167061</v>
      </c>
      <c r="V204" s="180"/>
      <c r="W204" s="133"/>
    </row>
    <row r="205" spans="1:23" s="81" customFormat="1" ht="12.75">
      <c r="A205" s="50" t="s">
        <v>1069</v>
      </c>
      <c r="B205" s="34">
        <f t="shared" ref="B205:U205" si="127">B204*B203</f>
        <v>2.6086956521739132E-2</v>
      </c>
      <c r="C205" s="34">
        <f t="shared" si="127"/>
        <v>0</v>
      </c>
      <c r="D205" s="34">
        <f t="shared" si="127"/>
        <v>0</v>
      </c>
      <c r="E205" s="34">
        <f t="shared" si="127"/>
        <v>2.3528940147861454E-2</v>
      </c>
      <c r="F205" s="34">
        <f t="shared" si="127"/>
        <v>0</v>
      </c>
      <c r="G205" s="34">
        <f t="shared" si="127"/>
        <v>0</v>
      </c>
      <c r="H205" s="34">
        <f t="shared" si="127"/>
        <v>2.1221755938463115E-2</v>
      </c>
      <c r="I205" s="34">
        <f t="shared" si="127"/>
        <v>0</v>
      </c>
      <c r="J205" s="34">
        <f t="shared" si="127"/>
        <v>0</v>
      </c>
      <c r="K205" s="34">
        <f t="shared" si="127"/>
        <v>1.9140807970163848E-2</v>
      </c>
      <c r="L205" s="34">
        <f t="shared" si="127"/>
        <v>0</v>
      </c>
      <c r="M205" s="34">
        <f t="shared" si="127"/>
        <v>0</v>
      </c>
      <c r="N205" s="34">
        <f t="shared" si="127"/>
        <v>1.726391212928163E-2</v>
      </c>
      <c r="O205" s="34">
        <f t="shared" si="127"/>
        <v>0</v>
      </c>
      <c r="P205" s="34">
        <f t="shared" si="127"/>
        <v>0</v>
      </c>
      <c r="Q205" s="34">
        <f t="shared" si="127"/>
        <v>1.5571059616299262E-2</v>
      </c>
      <c r="R205" s="34">
        <f t="shared" si="127"/>
        <v>0</v>
      </c>
      <c r="S205" s="34">
        <f t="shared" si="127"/>
        <v>0</v>
      </c>
      <c r="T205" s="34">
        <f t="shared" si="127"/>
        <v>1.4044203640443035E-2</v>
      </c>
      <c r="U205" s="34">
        <f t="shared" si="127"/>
        <v>0</v>
      </c>
      <c r="V205" s="182">
        <f>SUM(B205:U205)</f>
        <v>0.13685763596425149</v>
      </c>
      <c r="W205" s="35"/>
    </row>
    <row r="206" spans="1:23" s="81" customFormat="1" ht="12.75">
      <c r="A206" s="33"/>
      <c r="B206" s="34"/>
      <c r="C206" s="34"/>
      <c r="D206" s="34"/>
      <c r="E206" s="34"/>
      <c r="F206" s="34"/>
      <c r="G206" s="34"/>
      <c r="H206" s="34"/>
      <c r="I206" s="34"/>
      <c r="J206" s="34"/>
      <c r="K206" s="34"/>
      <c r="L206" s="34"/>
      <c r="M206" s="34"/>
      <c r="N206" s="34"/>
      <c r="O206" s="34"/>
      <c r="P206" s="34"/>
      <c r="Q206" s="34"/>
      <c r="R206" s="34"/>
      <c r="S206" s="34"/>
      <c r="T206" s="34"/>
      <c r="U206" s="34"/>
      <c r="V206" s="182"/>
      <c r="W206" s="35"/>
    </row>
    <row r="207" spans="1:23" ht="12.75">
      <c r="A207" s="139" t="s">
        <v>1024</v>
      </c>
      <c r="B207" s="81"/>
      <c r="C207" s="81"/>
      <c r="D207" s="81"/>
      <c r="E207" s="81"/>
      <c r="F207" s="81"/>
      <c r="G207" s="81"/>
      <c r="H207" s="81"/>
      <c r="I207" s="81"/>
      <c r="J207" s="81"/>
      <c r="K207" s="81"/>
      <c r="L207" s="81"/>
      <c r="M207" s="81"/>
      <c r="N207" s="81"/>
      <c r="O207" s="81"/>
      <c r="P207" s="81"/>
      <c r="Q207" s="81"/>
      <c r="R207" s="81"/>
      <c r="S207" s="81"/>
      <c r="T207" s="81"/>
      <c r="U207" s="81"/>
      <c r="V207" s="179"/>
      <c r="W207" s="140"/>
    </row>
    <row r="208" spans="1:23" ht="12.75">
      <c r="A208" s="200" t="s">
        <v>679</v>
      </c>
      <c r="B208" s="136">
        <f t="shared" ref="B208:U208" si="128">B104</f>
        <v>6.7499999999999999E-3</v>
      </c>
      <c r="C208" s="136">
        <f t="shared" si="128"/>
        <v>0</v>
      </c>
      <c r="D208" s="136">
        <f t="shared" si="128"/>
        <v>0</v>
      </c>
      <c r="E208" s="136">
        <f t="shared" si="128"/>
        <v>6.7499999999999999E-3</v>
      </c>
      <c r="F208" s="136">
        <f t="shared" si="128"/>
        <v>0</v>
      </c>
      <c r="G208" s="136">
        <f t="shared" si="128"/>
        <v>0</v>
      </c>
      <c r="H208" s="136">
        <f t="shared" si="128"/>
        <v>6.7499999999999999E-3</v>
      </c>
      <c r="I208" s="136">
        <f t="shared" si="128"/>
        <v>0</v>
      </c>
      <c r="J208" s="136">
        <f t="shared" si="128"/>
        <v>0</v>
      </c>
      <c r="K208" s="136">
        <f t="shared" si="128"/>
        <v>6.7499999999999999E-3</v>
      </c>
      <c r="L208" s="136">
        <f t="shared" si="128"/>
        <v>0</v>
      </c>
      <c r="M208" s="136">
        <f t="shared" si="128"/>
        <v>0</v>
      </c>
      <c r="N208" s="136">
        <f t="shared" si="128"/>
        <v>6.7499999999999999E-3</v>
      </c>
      <c r="O208" s="136">
        <f t="shared" si="128"/>
        <v>0</v>
      </c>
      <c r="P208" s="136">
        <f t="shared" si="128"/>
        <v>0</v>
      </c>
      <c r="Q208" s="136">
        <f t="shared" si="128"/>
        <v>6.7499999999999999E-3</v>
      </c>
      <c r="R208" s="136">
        <f t="shared" si="128"/>
        <v>0</v>
      </c>
      <c r="S208" s="136">
        <f t="shared" si="128"/>
        <v>0</v>
      </c>
      <c r="T208" s="136">
        <f t="shared" si="128"/>
        <v>6.7499999999999999E-3</v>
      </c>
      <c r="U208" s="136">
        <f t="shared" si="128"/>
        <v>0</v>
      </c>
      <c r="V208" s="180">
        <f>SUM(B208:U208)</f>
        <v>4.725E-2</v>
      </c>
      <c r="W208" s="53">
        <f>V208/20</f>
        <v>2.3625E-3</v>
      </c>
    </row>
    <row r="209" spans="1:25" ht="12.75">
      <c r="A209" s="200" t="s">
        <v>680</v>
      </c>
      <c r="B209" s="136">
        <f t="shared" ref="B209:U209" si="129">B109</f>
        <v>8.0999999999999996E-3</v>
      </c>
      <c r="C209" s="136">
        <f t="shared" si="129"/>
        <v>8.0999999999999996E-3</v>
      </c>
      <c r="D209" s="136">
        <f t="shared" si="129"/>
        <v>8.0999999999999996E-3</v>
      </c>
      <c r="E209" s="136">
        <f t="shared" si="129"/>
        <v>8.0999999999999996E-3</v>
      </c>
      <c r="F209" s="136">
        <f t="shared" si="129"/>
        <v>8.0999999999999996E-3</v>
      </c>
      <c r="G209" s="136">
        <f t="shared" si="129"/>
        <v>8.0999999999999996E-3</v>
      </c>
      <c r="H209" s="136">
        <f t="shared" si="129"/>
        <v>8.0999999999999996E-3</v>
      </c>
      <c r="I209" s="136">
        <f t="shared" si="129"/>
        <v>8.0999999999999996E-3</v>
      </c>
      <c r="J209" s="136">
        <f t="shared" si="129"/>
        <v>8.0999999999999996E-3</v>
      </c>
      <c r="K209" s="136">
        <f t="shared" si="129"/>
        <v>8.0999999999999996E-3</v>
      </c>
      <c r="L209" s="136">
        <f t="shared" si="129"/>
        <v>8.0999999999999996E-3</v>
      </c>
      <c r="M209" s="136">
        <f t="shared" si="129"/>
        <v>8.0999999999999996E-3</v>
      </c>
      <c r="N209" s="136">
        <f t="shared" si="129"/>
        <v>8.0999999999999996E-3</v>
      </c>
      <c r="O209" s="136">
        <f t="shared" si="129"/>
        <v>8.0999999999999996E-3</v>
      </c>
      <c r="P209" s="136">
        <f t="shared" si="129"/>
        <v>8.0999999999999996E-3</v>
      </c>
      <c r="Q209" s="136">
        <f t="shared" si="129"/>
        <v>8.0999999999999996E-3</v>
      </c>
      <c r="R209" s="136">
        <f t="shared" si="129"/>
        <v>8.0999999999999996E-3</v>
      </c>
      <c r="S209" s="136">
        <f t="shared" si="129"/>
        <v>8.0999999999999996E-3</v>
      </c>
      <c r="T209" s="136">
        <f t="shared" si="129"/>
        <v>8.0999999999999996E-3</v>
      </c>
      <c r="U209" s="136">
        <f t="shared" si="129"/>
        <v>8.0999999999999996E-3</v>
      </c>
      <c r="V209" s="180">
        <f t="shared" ref="V209:V210" si="130">SUM(B209:U209)</f>
        <v>0.16199999999999995</v>
      </c>
      <c r="W209" s="53">
        <f t="shared" ref="W209:W210" si="131">V209/20</f>
        <v>8.0999999999999978E-3</v>
      </c>
    </row>
    <row r="210" spans="1:25" s="3" customFormat="1" ht="12.75">
      <c r="A210" s="49" t="s">
        <v>664</v>
      </c>
      <c r="B210" s="30">
        <f>SUM(B208:B209)</f>
        <v>1.4849999999999999E-2</v>
      </c>
      <c r="C210" s="30">
        <f t="shared" ref="C210:U210" si="132">SUM(C208:C209)</f>
        <v>8.0999999999999996E-3</v>
      </c>
      <c r="D210" s="30">
        <f t="shared" si="132"/>
        <v>8.0999999999999996E-3</v>
      </c>
      <c r="E210" s="30">
        <f t="shared" si="132"/>
        <v>1.4849999999999999E-2</v>
      </c>
      <c r="F210" s="30">
        <f t="shared" si="132"/>
        <v>8.0999999999999996E-3</v>
      </c>
      <c r="G210" s="30">
        <f t="shared" si="132"/>
        <v>8.0999999999999996E-3</v>
      </c>
      <c r="H210" s="30">
        <f t="shared" si="132"/>
        <v>1.4849999999999999E-2</v>
      </c>
      <c r="I210" s="30">
        <f t="shared" si="132"/>
        <v>8.0999999999999996E-3</v>
      </c>
      <c r="J210" s="30">
        <f t="shared" si="132"/>
        <v>8.0999999999999996E-3</v>
      </c>
      <c r="K210" s="30">
        <f t="shared" si="132"/>
        <v>1.4849999999999999E-2</v>
      </c>
      <c r="L210" s="30">
        <f t="shared" si="132"/>
        <v>8.0999999999999996E-3</v>
      </c>
      <c r="M210" s="30">
        <f t="shared" si="132"/>
        <v>8.0999999999999996E-3</v>
      </c>
      <c r="N210" s="30">
        <f t="shared" si="132"/>
        <v>1.4849999999999999E-2</v>
      </c>
      <c r="O210" s="30">
        <f t="shared" si="132"/>
        <v>8.0999999999999996E-3</v>
      </c>
      <c r="P210" s="30">
        <f t="shared" si="132"/>
        <v>8.0999999999999996E-3</v>
      </c>
      <c r="Q210" s="30">
        <f t="shared" si="132"/>
        <v>1.4849999999999999E-2</v>
      </c>
      <c r="R210" s="30">
        <f t="shared" si="132"/>
        <v>8.0999999999999996E-3</v>
      </c>
      <c r="S210" s="30">
        <f t="shared" si="132"/>
        <v>8.0999999999999996E-3</v>
      </c>
      <c r="T210" s="30">
        <f t="shared" si="132"/>
        <v>1.4849999999999999E-2</v>
      </c>
      <c r="U210" s="30">
        <f t="shared" si="132"/>
        <v>8.0999999999999996E-3</v>
      </c>
      <c r="V210" s="180">
        <f t="shared" si="130"/>
        <v>0.20924999999999996</v>
      </c>
      <c r="W210" s="53">
        <f t="shared" si="131"/>
        <v>1.0462499999999998E-2</v>
      </c>
    </row>
    <row r="211" spans="1:25" ht="13.5" customHeight="1">
      <c r="A211" s="134" t="s">
        <v>123</v>
      </c>
      <c r="B211" s="52">
        <v>0.96618357487922713</v>
      </c>
      <c r="C211" s="52">
        <v>0.93351070036640305</v>
      </c>
      <c r="D211" s="52">
        <v>0.90194270566802237</v>
      </c>
      <c r="E211" s="52">
        <v>0.87144222769857238</v>
      </c>
      <c r="F211" s="52">
        <v>0.84197316685852419</v>
      </c>
      <c r="G211" s="52">
        <v>0.81350064430775282</v>
      </c>
      <c r="H211" s="52">
        <v>0.78599096068381913</v>
      </c>
      <c r="I211" s="52">
        <v>0.75941155621625056</v>
      </c>
      <c r="J211" s="52">
        <v>0.73373097218961414</v>
      </c>
      <c r="K211" s="52">
        <v>0.70891881370977217</v>
      </c>
      <c r="L211" s="52">
        <v>0.68494571372924851</v>
      </c>
      <c r="M211" s="52">
        <v>0.66178329828912896</v>
      </c>
      <c r="N211" s="52">
        <v>0.63940415293635666</v>
      </c>
      <c r="O211" s="52">
        <v>0.61778179027667302</v>
      </c>
      <c r="P211" s="52">
        <v>0.59689061862480497</v>
      </c>
      <c r="Q211" s="52">
        <v>0.57670591171478747</v>
      </c>
      <c r="R211" s="52">
        <v>0.55720377943457733</v>
      </c>
      <c r="S211" s="52">
        <v>0.53836113955031628</v>
      </c>
      <c r="T211" s="52">
        <v>0.52015569038677911</v>
      </c>
      <c r="U211" s="52">
        <v>0.50256588443167061</v>
      </c>
      <c r="V211" s="180"/>
      <c r="W211" s="133"/>
    </row>
    <row r="212" spans="1:25" s="81" customFormat="1" ht="12.75">
      <c r="A212" s="50" t="s">
        <v>1069</v>
      </c>
      <c r="B212" s="34">
        <f t="shared" ref="B212:U212" si="133">B211*B210</f>
        <v>1.4347826086956521E-2</v>
      </c>
      <c r="C212" s="34">
        <f t="shared" si="133"/>
        <v>7.5614366729678641E-3</v>
      </c>
      <c r="D212" s="34">
        <f t="shared" si="133"/>
        <v>7.3057359159109806E-3</v>
      </c>
      <c r="E212" s="34">
        <f t="shared" si="133"/>
        <v>1.2940917081323798E-2</v>
      </c>
      <c r="F212" s="34">
        <f t="shared" si="133"/>
        <v>6.8199826515540456E-3</v>
      </c>
      <c r="G212" s="34">
        <f t="shared" si="133"/>
        <v>6.5893552188927978E-3</v>
      </c>
      <c r="H212" s="34">
        <f t="shared" si="133"/>
        <v>1.1671965766154714E-2</v>
      </c>
      <c r="I212" s="34">
        <f t="shared" si="133"/>
        <v>6.1512336053516289E-3</v>
      </c>
      <c r="J212" s="34">
        <f t="shared" si="133"/>
        <v>5.9432208747358739E-3</v>
      </c>
      <c r="K212" s="34">
        <f t="shared" si="133"/>
        <v>1.0527444383590115E-2</v>
      </c>
      <c r="L212" s="34">
        <f t="shared" si="133"/>
        <v>5.5480602812069124E-3</v>
      </c>
      <c r="M212" s="34">
        <f t="shared" si="133"/>
        <v>5.3604447161419442E-3</v>
      </c>
      <c r="N212" s="34">
        <f t="shared" si="133"/>
        <v>9.4951516711048959E-3</v>
      </c>
      <c r="O212" s="34">
        <f t="shared" si="133"/>
        <v>5.0040325012410515E-3</v>
      </c>
      <c r="P212" s="34">
        <f t="shared" si="133"/>
        <v>4.8348140108609196E-3</v>
      </c>
      <c r="Q212" s="34">
        <f t="shared" si="133"/>
        <v>8.5640827889645939E-3</v>
      </c>
      <c r="R212" s="34">
        <f t="shared" si="133"/>
        <v>4.5133506134200762E-3</v>
      </c>
      <c r="S212" s="34">
        <f t="shared" si="133"/>
        <v>4.3607252303575613E-3</v>
      </c>
      <c r="T212" s="34">
        <f t="shared" si="133"/>
        <v>7.7243120022436693E-3</v>
      </c>
      <c r="U212" s="34">
        <f t="shared" si="133"/>
        <v>4.0707836638965321E-3</v>
      </c>
      <c r="V212" s="182">
        <f>SUM(B212:U212)</f>
        <v>0.14933487573687648</v>
      </c>
      <c r="W212" s="35"/>
    </row>
    <row r="213" spans="1:25" s="81" customFormat="1" ht="12.75">
      <c r="A213" s="33"/>
      <c r="B213" s="34"/>
      <c r="C213" s="34"/>
      <c r="D213" s="34"/>
      <c r="E213" s="34"/>
      <c r="F213" s="34"/>
      <c r="G213" s="34"/>
      <c r="H213" s="34"/>
      <c r="I213" s="34"/>
      <c r="J213" s="34"/>
      <c r="K213" s="34"/>
      <c r="L213" s="34"/>
      <c r="M213" s="34"/>
      <c r="N213" s="34"/>
      <c r="O213" s="34"/>
      <c r="P213" s="34"/>
      <c r="Q213" s="34"/>
      <c r="R213" s="34"/>
      <c r="S213" s="34"/>
      <c r="T213" s="34"/>
      <c r="U213" s="34"/>
      <c r="V213" s="182"/>
      <c r="W213" s="35"/>
    </row>
    <row r="214" spans="1:25" ht="12.75">
      <c r="A214" s="139" t="s">
        <v>1029</v>
      </c>
      <c r="B214" s="81"/>
      <c r="C214" s="81"/>
      <c r="D214" s="81"/>
      <c r="E214" s="81"/>
      <c r="F214" s="81"/>
      <c r="G214" s="81"/>
      <c r="H214" s="81"/>
      <c r="I214" s="81"/>
      <c r="J214" s="81"/>
      <c r="K214" s="81"/>
      <c r="L214" s="81"/>
      <c r="M214" s="81"/>
      <c r="N214" s="81"/>
      <c r="O214" s="81"/>
      <c r="P214" s="81"/>
      <c r="Q214" s="81"/>
      <c r="R214" s="81"/>
      <c r="S214" s="81"/>
      <c r="T214" s="81"/>
      <c r="U214" s="81"/>
      <c r="V214" s="179"/>
      <c r="W214" s="140"/>
    </row>
    <row r="215" spans="1:25" ht="12.75">
      <c r="A215" s="200" t="s">
        <v>679</v>
      </c>
      <c r="B215" s="136">
        <v>0</v>
      </c>
      <c r="C215" s="136">
        <v>0</v>
      </c>
      <c r="D215" s="136">
        <v>0</v>
      </c>
      <c r="E215" s="136">
        <v>0</v>
      </c>
      <c r="F215" s="136">
        <v>0</v>
      </c>
      <c r="G215" s="136">
        <v>0</v>
      </c>
      <c r="H215" s="136">
        <v>0</v>
      </c>
      <c r="I215" s="136">
        <v>0</v>
      </c>
      <c r="J215" s="136">
        <v>0</v>
      </c>
      <c r="K215" s="136">
        <v>0</v>
      </c>
      <c r="L215" s="136">
        <v>0</v>
      </c>
      <c r="M215" s="136">
        <v>0</v>
      </c>
      <c r="N215" s="136">
        <v>0</v>
      </c>
      <c r="O215" s="136">
        <v>0</v>
      </c>
      <c r="P215" s="136">
        <v>0</v>
      </c>
      <c r="Q215" s="136">
        <v>0</v>
      </c>
      <c r="R215" s="136">
        <v>0</v>
      </c>
      <c r="S215" s="136">
        <v>0</v>
      </c>
      <c r="T215" s="136">
        <v>0</v>
      </c>
      <c r="U215" s="136">
        <v>0</v>
      </c>
      <c r="V215" s="180">
        <f>SUM(B215:U215)</f>
        <v>0</v>
      </c>
      <c r="W215" s="53">
        <f>V215/20</f>
        <v>0</v>
      </c>
    </row>
    <row r="216" spans="1:25" ht="12.75">
      <c r="A216" s="200" t="s">
        <v>680</v>
      </c>
      <c r="B216" s="136">
        <f t="shared" ref="B216:U216" si="134">B108</f>
        <v>0</v>
      </c>
      <c r="C216" s="136">
        <f t="shared" si="134"/>
        <v>0</v>
      </c>
      <c r="D216" s="136">
        <f t="shared" si="134"/>
        <v>0</v>
      </c>
      <c r="E216" s="136">
        <f t="shared" si="134"/>
        <v>0</v>
      </c>
      <c r="F216" s="136">
        <f t="shared" si="134"/>
        <v>0</v>
      </c>
      <c r="G216" s="136">
        <f t="shared" si="134"/>
        <v>0</v>
      </c>
      <c r="H216" s="136">
        <f t="shared" si="134"/>
        <v>0</v>
      </c>
      <c r="I216" s="136">
        <f t="shared" si="134"/>
        <v>0</v>
      </c>
      <c r="J216" s="136">
        <f t="shared" si="134"/>
        <v>0</v>
      </c>
      <c r="K216" s="136">
        <f t="shared" si="134"/>
        <v>0</v>
      </c>
      <c r="L216" s="136">
        <f t="shared" si="134"/>
        <v>0</v>
      </c>
      <c r="M216" s="136">
        <f t="shared" si="134"/>
        <v>0</v>
      </c>
      <c r="N216" s="136">
        <f t="shared" si="134"/>
        <v>0</v>
      </c>
      <c r="O216" s="136">
        <f t="shared" si="134"/>
        <v>0</v>
      </c>
      <c r="P216" s="136">
        <f t="shared" si="134"/>
        <v>0</v>
      </c>
      <c r="Q216" s="136">
        <f t="shared" si="134"/>
        <v>0</v>
      </c>
      <c r="R216" s="136">
        <f t="shared" si="134"/>
        <v>0</v>
      </c>
      <c r="S216" s="136">
        <f t="shared" si="134"/>
        <v>0</v>
      </c>
      <c r="T216" s="136">
        <f t="shared" si="134"/>
        <v>0</v>
      </c>
      <c r="U216" s="136">
        <f t="shared" si="134"/>
        <v>0</v>
      </c>
      <c r="V216" s="180">
        <f t="shared" ref="V216:V217" si="135">SUM(B216:U216)</f>
        <v>0</v>
      </c>
      <c r="W216" s="53">
        <f t="shared" ref="W216:W217" si="136">V216/20</f>
        <v>0</v>
      </c>
    </row>
    <row r="217" spans="1:25" s="3" customFormat="1" ht="12.75">
      <c r="A217" s="49" t="s">
        <v>664</v>
      </c>
      <c r="B217" s="30">
        <f>SUM(B215:B216)</f>
        <v>0</v>
      </c>
      <c r="C217" s="30">
        <f t="shared" ref="C217:U217" si="137">SUM(C215:C216)</f>
        <v>0</v>
      </c>
      <c r="D217" s="30">
        <f t="shared" si="137"/>
        <v>0</v>
      </c>
      <c r="E217" s="30">
        <f t="shared" si="137"/>
        <v>0</v>
      </c>
      <c r="F217" s="30">
        <f t="shared" si="137"/>
        <v>0</v>
      </c>
      <c r="G217" s="30">
        <f t="shared" si="137"/>
        <v>0</v>
      </c>
      <c r="H217" s="30">
        <f t="shared" si="137"/>
        <v>0</v>
      </c>
      <c r="I217" s="30">
        <f t="shared" si="137"/>
        <v>0</v>
      </c>
      <c r="J217" s="30">
        <f t="shared" si="137"/>
        <v>0</v>
      </c>
      <c r="K217" s="30">
        <f t="shared" si="137"/>
        <v>0</v>
      </c>
      <c r="L217" s="30">
        <f t="shared" si="137"/>
        <v>0</v>
      </c>
      <c r="M217" s="30">
        <f t="shared" si="137"/>
        <v>0</v>
      </c>
      <c r="N217" s="30">
        <f t="shared" si="137"/>
        <v>0</v>
      </c>
      <c r="O217" s="30">
        <f t="shared" si="137"/>
        <v>0</v>
      </c>
      <c r="P217" s="30">
        <f t="shared" si="137"/>
        <v>0</v>
      </c>
      <c r="Q217" s="30">
        <f t="shared" si="137"/>
        <v>0</v>
      </c>
      <c r="R217" s="30">
        <f t="shared" si="137"/>
        <v>0</v>
      </c>
      <c r="S217" s="30">
        <f t="shared" si="137"/>
        <v>0</v>
      </c>
      <c r="T217" s="30">
        <f t="shared" si="137"/>
        <v>0</v>
      </c>
      <c r="U217" s="30">
        <f t="shared" si="137"/>
        <v>0</v>
      </c>
      <c r="V217" s="180">
        <f t="shared" si="135"/>
        <v>0</v>
      </c>
      <c r="W217" s="53">
        <f t="shared" si="136"/>
        <v>0</v>
      </c>
    </row>
    <row r="218" spans="1:25" ht="13.5" customHeight="1">
      <c r="A218" s="134" t="s">
        <v>123</v>
      </c>
      <c r="B218" s="52">
        <v>0.96618357487922713</v>
      </c>
      <c r="C218" s="52">
        <v>0.93351070036640305</v>
      </c>
      <c r="D218" s="52">
        <v>0.90194270566802237</v>
      </c>
      <c r="E218" s="52">
        <v>0.87144222769857238</v>
      </c>
      <c r="F218" s="52">
        <v>0.84197316685852419</v>
      </c>
      <c r="G218" s="52">
        <v>0.81350064430775282</v>
      </c>
      <c r="H218" s="52">
        <v>0.78599096068381913</v>
      </c>
      <c r="I218" s="52">
        <v>0.75941155621625056</v>
      </c>
      <c r="J218" s="52">
        <v>0.73373097218961414</v>
      </c>
      <c r="K218" s="52">
        <v>0.70891881370977217</v>
      </c>
      <c r="L218" s="52">
        <v>0.68494571372924851</v>
      </c>
      <c r="M218" s="52">
        <v>0.66178329828912896</v>
      </c>
      <c r="N218" s="52">
        <v>0.63940415293635666</v>
      </c>
      <c r="O218" s="52">
        <v>0.61778179027667302</v>
      </c>
      <c r="P218" s="52">
        <v>0.59689061862480497</v>
      </c>
      <c r="Q218" s="52">
        <v>0.57670591171478747</v>
      </c>
      <c r="R218" s="52">
        <v>0.55720377943457733</v>
      </c>
      <c r="S218" s="52">
        <v>0.53836113955031628</v>
      </c>
      <c r="T218" s="52">
        <v>0.52015569038677911</v>
      </c>
      <c r="U218" s="52">
        <v>0.50256588443167061</v>
      </c>
      <c r="V218" s="180"/>
      <c r="W218" s="133"/>
    </row>
    <row r="219" spans="1:25" s="81" customFormat="1" ht="12.75">
      <c r="A219" s="50" t="s">
        <v>1069</v>
      </c>
      <c r="B219" s="34">
        <f t="shared" ref="B219:U219" si="138">B218*B217</f>
        <v>0</v>
      </c>
      <c r="C219" s="34">
        <f t="shared" si="138"/>
        <v>0</v>
      </c>
      <c r="D219" s="34">
        <f t="shared" si="138"/>
        <v>0</v>
      </c>
      <c r="E219" s="34">
        <f t="shared" si="138"/>
        <v>0</v>
      </c>
      <c r="F219" s="34">
        <f t="shared" si="138"/>
        <v>0</v>
      </c>
      <c r="G219" s="34">
        <f t="shared" si="138"/>
        <v>0</v>
      </c>
      <c r="H219" s="34">
        <f t="shared" si="138"/>
        <v>0</v>
      </c>
      <c r="I219" s="34">
        <f t="shared" si="138"/>
        <v>0</v>
      </c>
      <c r="J219" s="34">
        <f t="shared" si="138"/>
        <v>0</v>
      </c>
      <c r="K219" s="34">
        <f t="shared" si="138"/>
        <v>0</v>
      </c>
      <c r="L219" s="34">
        <f t="shared" si="138"/>
        <v>0</v>
      </c>
      <c r="M219" s="34">
        <f t="shared" si="138"/>
        <v>0</v>
      </c>
      <c r="N219" s="34">
        <f t="shared" si="138"/>
        <v>0</v>
      </c>
      <c r="O219" s="34">
        <f t="shared" si="138"/>
        <v>0</v>
      </c>
      <c r="P219" s="34">
        <f t="shared" si="138"/>
        <v>0</v>
      </c>
      <c r="Q219" s="34">
        <f t="shared" si="138"/>
        <v>0</v>
      </c>
      <c r="R219" s="34">
        <f t="shared" si="138"/>
        <v>0</v>
      </c>
      <c r="S219" s="34">
        <f t="shared" si="138"/>
        <v>0</v>
      </c>
      <c r="T219" s="34">
        <f t="shared" si="138"/>
        <v>0</v>
      </c>
      <c r="U219" s="34">
        <f t="shared" si="138"/>
        <v>0</v>
      </c>
      <c r="V219" s="182">
        <f>SUM(B219:U219)</f>
        <v>0</v>
      </c>
      <c r="W219" s="35"/>
    </row>
    <row r="220" spans="1:25" s="81" customFormat="1" thickBot="1">
      <c r="A220" s="43"/>
      <c r="B220" s="38"/>
      <c r="C220" s="38"/>
      <c r="D220" s="38"/>
      <c r="E220" s="38"/>
      <c r="F220" s="38"/>
      <c r="G220" s="38"/>
      <c r="H220" s="38"/>
      <c r="I220" s="38"/>
      <c r="J220" s="38"/>
      <c r="K220" s="38"/>
      <c r="L220" s="38"/>
      <c r="M220" s="38"/>
      <c r="N220" s="38"/>
      <c r="O220" s="38"/>
      <c r="P220" s="38"/>
      <c r="Q220" s="38"/>
      <c r="R220" s="38"/>
      <c r="S220" s="38"/>
      <c r="T220" s="38"/>
      <c r="U220" s="38"/>
      <c r="V220" s="183"/>
      <c r="W220" s="39"/>
    </row>
    <row r="221" spans="1:25" s="81" customFormat="1" ht="12.75">
      <c r="A221" s="33"/>
      <c r="B221" s="34"/>
      <c r="C221" s="34"/>
      <c r="D221" s="34"/>
      <c r="E221" s="34"/>
      <c r="F221" s="34"/>
      <c r="G221" s="34"/>
      <c r="H221" s="34"/>
      <c r="I221" s="34"/>
      <c r="J221" s="34"/>
      <c r="K221" s="34"/>
      <c r="L221" s="34"/>
      <c r="M221" s="34"/>
      <c r="N221" s="34"/>
      <c r="O221" s="34"/>
      <c r="P221" s="34"/>
      <c r="Q221" s="34"/>
      <c r="R221" s="34"/>
      <c r="S221" s="34"/>
      <c r="T221" s="34"/>
      <c r="U221" s="34"/>
      <c r="V221" s="187"/>
      <c r="W221" s="47"/>
    </row>
    <row r="222" spans="1:25" ht="12.75">
      <c r="A222" s="158" t="s">
        <v>654</v>
      </c>
      <c r="B222" s="81"/>
      <c r="C222" s="81"/>
      <c r="D222" s="81"/>
      <c r="E222" s="81"/>
      <c r="F222" s="81"/>
      <c r="G222" s="81"/>
      <c r="H222" s="81"/>
      <c r="I222" s="81"/>
      <c r="J222" s="81"/>
      <c r="K222" s="81"/>
      <c r="L222" s="81"/>
      <c r="M222" s="81"/>
      <c r="N222" s="81"/>
      <c r="O222" s="81"/>
      <c r="P222" s="81"/>
      <c r="Q222" s="81"/>
      <c r="R222" s="81"/>
      <c r="S222" s="81"/>
      <c r="T222" s="81"/>
      <c r="U222" s="81"/>
      <c r="V222" s="179"/>
      <c r="W222" s="140"/>
    </row>
    <row r="223" spans="1:25" s="81" customFormat="1" ht="12.75">
      <c r="A223" s="33"/>
      <c r="B223" s="34"/>
      <c r="C223" s="34"/>
      <c r="D223" s="34"/>
      <c r="E223" s="34"/>
      <c r="F223" s="34"/>
      <c r="G223" s="34"/>
      <c r="H223" s="34"/>
      <c r="I223" s="34"/>
      <c r="J223" s="34"/>
      <c r="K223" s="34"/>
      <c r="L223" s="34"/>
      <c r="M223" s="34"/>
      <c r="N223" s="34"/>
      <c r="O223" s="34"/>
      <c r="P223" s="34"/>
      <c r="Q223" s="34"/>
      <c r="R223" s="34"/>
      <c r="S223" s="34"/>
      <c r="T223" s="34"/>
      <c r="U223" s="34"/>
      <c r="V223" s="182"/>
      <c r="W223" s="35"/>
    </row>
    <row r="224" spans="1:25" ht="12.75">
      <c r="A224" s="139" t="s">
        <v>1089</v>
      </c>
      <c r="B224" s="81"/>
      <c r="C224" s="81"/>
      <c r="D224" s="81"/>
      <c r="E224" s="81"/>
      <c r="F224" s="81"/>
      <c r="G224" s="81"/>
      <c r="H224" s="81"/>
      <c r="I224" s="81"/>
      <c r="J224" s="81"/>
      <c r="K224" s="81"/>
      <c r="L224" s="81"/>
      <c r="M224" s="81"/>
      <c r="N224" s="81"/>
      <c r="O224" s="81"/>
      <c r="P224" s="81"/>
      <c r="Q224" s="81"/>
      <c r="R224" s="81"/>
      <c r="S224" s="81"/>
      <c r="T224" s="81"/>
      <c r="U224" s="81"/>
      <c r="V224" s="179"/>
      <c r="W224" s="140"/>
      <c r="Y224" s="28"/>
    </row>
    <row r="225" spans="1:25" ht="12.75">
      <c r="A225" s="200" t="s">
        <v>679</v>
      </c>
      <c r="B225" s="136">
        <v>0</v>
      </c>
      <c r="C225" s="136">
        <v>0</v>
      </c>
      <c r="D225" s="136">
        <v>0</v>
      </c>
      <c r="E225" s="136">
        <v>0</v>
      </c>
      <c r="F225" s="136">
        <v>0</v>
      </c>
      <c r="G225" s="136">
        <v>0</v>
      </c>
      <c r="H225" s="136">
        <v>0</v>
      </c>
      <c r="I225" s="136">
        <v>0</v>
      </c>
      <c r="J225" s="136">
        <v>0</v>
      </c>
      <c r="K225" s="136">
        <v>0</v>
      </c>
      <c r="L225" s="136">
        <v>0</v>
      </c>
      <c r="M225" s="136">
        <v>0</v>
      </c>
      <c r="N225" s="136">
        <v>0</v>
      </c>
      <c r="O225" s="136">
        <v>0</v>
      </c>
      <c r="P225" s="136">
        <v>0</v>
      </c>
      <c r="Q225" s="136">
        <v>0</v>
      </c>
      <c r="R225" s="136">
        <v>0</v>
      </c>
      <c r="S225" s="136">
        <v>0</v>
      </c>
      <c r="T225" s="136">
        <v>0</v>
      </c>
      <c r="U225" s="136">
        <v>0</v>
      </c>
      <c r="V225" s="180">
        <f>SUM(B225:U225)</f>
        <v>0</v>
      </c>
      <c r="W225" s="53">
        <f>V225/20</f>
        <v>0</v>
      </c>
      <c r="Y225" s="28"/>
    </row>
    <row r="226" spans="1:25" ht="12.75">
      <c r="A226" s="200" t="s">
        <v>680</v>
      </c>
      <c r="B226" s="136">
        <f t="shared" ref="B226:U226" si="139">B91</f>
        <v>4.0499999999999998E-3</v>
      </c>
      <c r="C226" s="136">
        <f t="shared" si="139"/>
        <v>4.0499999999999998E-3</v>
      </c>
      <c r="D226" s="136">
        <f t="shared" si="139"/>
        <v>4.0499999999999998E-3</v>
      </c>
      <c r="E226" s="136">
        <f t="shared" si="139"/>
        <v>4.0499999999999998E-3</v>
      </c>
      <c r="F226" s="136">
        <f t="shared" si="139"/>
        <v>4.0499999999999998E-3</v>
      </c>
      <c r="G226" s="136">
        <f t="shared" si="139"/>
        <v>4.0499999999999998E-3</v>
      </c>
      <c r="H226" s="136">
        <f t="shared" si="139"/>
        <v>4.0499999999999998E-3</v>
      </c>
      <c r="I226" s="136">
        <f t="shared" si="139"/>
        <v>4.0499999999999998E-3</v>
      </c>
      <c r="J226" s="136">
        <f t="shared" si="139"/>
        <v>4.0499999999999998E-3</v>
      </c>
      <c r="K226" s="136">
        <f t="shared" si="139"/>
        <v>4.0499999999999998E-3</v>
      </c>
      <c r="L226" s="136">
        <f t="shared" si="139"/>
        <v>4.0499999999999998E-3</v>
      </c>
      <c r="M226" s="136">
        <f t="shared" si="139"/>
        <v>4.0499999999999998E-3</v>
      </c>
      <c r="N226" s="136">
        <f t="shared" si="139"/>
        <v>4.0499999999999998E-3</v>
      </c>
      <c r="O226" s="136">
        <f t="shared" si="139"/>
        <v>4.0499999999999998E-3</v>
      </c>
      <c r="P226" s="136">
        <f t="shared" si="139"/>
        <v>4.0499999999999998E-3</v>
      </c>
      <c r="Q226" s="136">
        <f t="shared" si="139"/>
        <v>4.0499999999999998E-3</v>
      </c>
      <c r="R226" s="136">
        <f t="shared" si="139"/>
        <v>4.0499999999999998E-3</v>
      </c>
      <c r="S226" s="136">
        <f t="shared" si="139"/>
        <v>4.0499999999999998E-3</v>
      </c>
      <c r="T226" s="136">
        <f t="shared" si="139"/>
        <v>4.0499999999999998E-3</v>
      </c>
      <c r="U226" s="136">
        <f t="shared" si="139"/>
        <v>4.0499999999999998E-3</v>
      </c>
      <c r="V226" s="180">
        <f t="shared" ref="V226:V227" si="140">SUM(B226:U226)</f>
        <v>8.0999999999999975E-2</v>
      </c>
      <c r="W226" s="53">
        <f t="shared" ref="W226:W227" si="141">V226/20</f>
        <v>4.0499999999999989E-3</v>
      </c>
      <c r="Y226" s="28"/>
    </row>
    <row r="227" spans="1:25" s="3" customFormat="1" ht="12.75">
      <c r="A227" s="49" t="s">
        <v>664</v>
      </c>
      <c r="B227" s="30">
        <f>SUM(B225:B226)</f>
        <v>4.0499999999999998E-3</v>
      </c>
      <c r="C227" s="30">
        <f t="shared" ref="C227:U227" si="142">SUM(C225:C226)</f>
        <v>4.0499999999999998E-3</v>
      </c>
      <c r="D227" s="30">
        <f t="shared" si="142"/>
        <v>4.0499999999999998E-3</v>
      </c>
      <c r="E227" s="30">
        <f t="shared" si="142"/>
        <v>4.0499999999999998E-3</v>
      </c>
      <c r="F227" s="30">
        <f t="shared" si="142"/>
        <v>4.0499999999999998E-3</v>
      </c>
      <c r="G227" s="30">
        <f t="shared" si="142"/>
        <v>4.0499999999999998E-3</v>
      </c>
      <c r="H227" s="30">
        <f t="shared" si="142"/>
        <v>4.0499999999999998E-3</v>
      </c>
      <c r="I227" s="30">
        <f t="shared" si="142"/>
        <v>4.0499999999999998E-3</v>
      </c>
      <c r="J227" s="30">
        <f t="shared" si="142"/>
        <v>4.0499999999999998E-3</v>
      </c>
      <c r="K227" s="30">
        <f t="shared" si="142"/>
        <v>4.0499999999999998E-3</v>
      </c>
      <c r="L227" s="30">
        <f t="shared" si="142"/>
        <v>4.0499999999999998E-3</v>
      </c>
      <c r="M227" s="30">
        <f t="shared" si="142"/>
        <v>4.0499999999999998E-3</v>
      </c>
      <c r="N227" s="30">
        <f t="shared" si="142"/>
        <v>4.0499999999999998E-3</v>
      </c>
      <c r="O227" s="30">
        <f t="shared" si="142"/>
        <v>4.0499999999999998E-3</v>
      </c>
      <c r="P227" s="30">
        <f t="shared" si="142"/>
        <v>4.0499999999999998E-3</v>
      </c>
      <c r="Q227" s="30">
        <f t="shared" si="142"/>
        <v>4.0499999999999998E-3</v>
      </c>
      <c r="R227" s="30">
        <f t="shared" si="142"/>
        <v>4.0499999999999998E-3</v>
      </c>
      <c r="S227" s="30">
        <f t="shared" si="142"/>
        <v>4.0499999999999998E-3</v>
      </c>
      <c r="T227" s="30">
        <f t="shared" si="142"/>
        <v>4.0499999999999998E-3</v>
      </c>
      <c r="U227" s="30">
        <f t="shared" si="142"/>
        <v>4.0499999999999998E-3</v>
      </c>
      <c r="V227" s="180">
        <f t="shared" si="140"/>
        <v>8.0999999999999975E-2</v>
      </c>
      <c r="W227" s="53">
        <f t="shared" si="141"/>
        <v>4.0499999999999989E-3</v>
      </c>
      <c r="Y227" s="28"/>
    </row>
    <row r="228" spans="1:25" ht="13.5" customHeight="1">
      <c r="A228" s="134" t="s">
        <v>123</v>
      </c>
      <c r="B228" s="52">
        <v>0.96618357487922713</v>
      </c>
      <c r="C228" s="52">
        <v>0.93351070036640305</v>
      </c>
      <c r="D228" s="52">
        <v>0.90194270566802237</v>
      </c>
      <c r="E228" s="52">
        <v>0.87144222769857238</v>
      </c>
      <c r="F228" s="52">
        <v>0.84197316685852419</v>
      </c>
      <c r="G228" s="52">
        <v>0.81350064430775282</v>
      </c>
      <c r="H228" s="52">
        <v>0.78599096068381913</v>
      </c>
      <c r="I228" s="52">
        <v>0.75941155621625056</v>
      </c>
      <c r="J228" s="52">
        <v>0.73373097218961414</v>
      </c>
      <c r="K228" s="52">
        <v>0.70891881370977217</v>
      </c>
      <c r="L228" s="52">
        <v>0.68494571372924851</v>
      </c>
      <c r="M228" s="52">
        <v>0.66178329828912896</v>
      </c>
      <c r="N228" s="52">
        <v>0.63940415293635666</v>
      </c>
      <c r="O228" s="52">
        <v>0.61778179027667302</v>
      </c>
      <c r="P228" s="52">
        <v>0.59689061862480497</v>
      </c>
      <c r="Q228" s="52">
        <v>0.57670591171478747</v>
      </c>
      <c r="R228" s="52">
        <v>0.55720377943457733</v>
      </c>
      <c r="S228" s="52">
        <v>0.53836113955031628</v>
      </c>
      <c r="T228" s="52">
        <v>0.52015569038677911</v>
      </c>
      <c r="U228" s="52">
        <v>0.50256588443167061</v>
      </c>
      <c r="V228" s="180"/>
      <c r="W228" s="133"/>
      <c r="Y228" s="28"/>
    </row>
    <row r="229" spans="1:25" s="81" customFormat="1" ht="12.75">
      <c r="A229" s="50" t="s">
        <v>1069</v>
      </c>
      <c r="B229" s="34">
        <f t="shared" ref="B229:U229" si="143">B228*B227</f>
        <v>3.9130434782608699E-3</v>
      </c>
      <c r="C229" s="34">
        <f t="shared" si="143"/>
        <v>3.780718336483932E-3</v>
      </c>
      <c r="D229" s="34">
        <f t="shared" si="143"/>
        <v>3.6528679579554903E-3</v>
      </c>
      <c r="E229" s="34">
        <f t="shared" si="143"/>
        <v>3.5293410221792177E-3</v>
      </c>
      <c r="F229" s="34">
        <f t="shared" si="143"/>
        <v>3.4099913257770228E-3</v>
      </c>
      <c r="G229" s="34">
        <f t="shared" si="143"/>
        <v>3.2946776094463989E-3</v>
      </c>
      <c r="H229" s="34">
        <f t="shared" si="143"/>
        <v>3.1832633907694671E-3</v>
      </c>
      <c r="I229" s="34">
        <f t="shared" si="143"/>
        <v>3.0756168026758145E-3</v>
      </c>
      <c r="J229" s="34">
        <f t="shared" si="143"/>
        <v>2.971610437367937E-3</v>
      </c>
      <c r="K229" s="34">
        <f t="shared" si="143"/>
        <v>2.8711211955245769E-3</v>
      </c>
      <c r="L229" s="34">
        <f t="shared" si="143"/>
        <v>2.7740301406034562E-3</v>
      </c>
      <c r="M229" s="34">
        <f t="shared" si="143"/>
        <v>2.6802223580709721E-3</v>
      </c>
      <c r="N229" s="34">
        <f t="shared" si="143"/>
        <v>2.5895868193922442E-3</v>
      </c>
      <c r="O229" s="34">
        <f t="shared" si="143"/>
        <v>2.5020162506205258E-3</v>
      </c>
      <c r="P229" s="34">
        <f t="shared" si="143"/>
        <v>2.4174070054304598E-3</v>
      </c>
      <c r="Q229" s="34">
        <f t="shared" si="143"/>
        <v>2.3356589424448891E-3</v>
      </c>
      <c r="R229" s="34">
        <f t="shared" si="143"/>
        <v>2.2566753067100381E-3</v>
      </c>
      <c r="S229" s="34">
        <f t="shared" si="143"/>
        <v>2.1803626151787807E-3</v>
      </c>
      <c r="T229" s="34">
        <f t="shared" si="143"/>
        <v>2.1066305460664555E-3</v>
      </c>
      <c r="U229" s="34">
        <f t="shared" si="143"/>
        <v>2.035391831948266E-3</v>
      </c>
      <c r="V229" s="182">
        <f>SUM(B229:U229)</f>
        <v>5.7560233372906812E-2</v>
      </c>
      <c r="W229" s="35"/>
      <c r="Y229" s="28"/>
    </row>
    <row r="230" spans="1:25" s="81" customFormat="1" ht="12.75">
      <c r="A230" s="33"/>
      <c r="B230" s="34"/>
      <c r="C230" s="34"/>
      <c r="D230" s="34"/>
      <c r="E230" s="34"/>
      <c r="F230" s="34"/>
      <c r="G230" s="34"/>
      <c r="H230" s="34"/>
      <c r="I230" s="34"/>
      <c r="J230" s="34"/>
      <c r="K230" s="34"/>
      <c r="L230" s="34"/>
      <c r="M230" s="34"/>
      <c r="N230" s="34"/>
      <c r="O230" s="34"/>
      <c r="P230" s="34"/>
      <c r="Q230" s="34"/>
      <c r="R230" s="34"/>
      <c r="S230" s="34"/>
      <c r="T230" s="34"/>
      <c r="U230" s="34"/>
      <c r="V230" s="182"/>
      <c r="W230" s="35"/>
      <c r="Y230" s="86"/>
    </row>
    <row r="231" spans="1:25" ht="12.75">
      <c r="A231" s="139" t="s">
        <v>1088</v>
      </c>
      <c r="B231" s="81"/>
      <c r="C231" s="81"/>
      <c r="D231" s="81"/>
      <c r="E231" s="81"/>
      <c r="F231" s="81"/>
      <c r="G231" s="81"/>
      <c r="H231" s="81"/>
      <c r="I231" s="81"/>
      <c r="J231" s="81"/>
      <c r="K231" s="81"/>
      <c r="L231" s="81"/>
      <c r="M231" s="81"/>
      <c r="N231" s="81"/>
      <c r="O231" s="81"/>
      <c r="P231" s="81"/>
      <c r="Q231" s="81"/>
      <c r="R231" s="81"/>
      <c r="S231" s="81"/>
      <c r="T231" s="81"/>
      <c r="U231" s="81"/>
      <c r="V231" s="179"/>
      <c r="W231" s="140"/>
      <c r="Y231" s="86"/>
    </row>
    <row r="232" spans="1:25" ht="12.75">
      <c r="A232" s="200" t="s">
        <v>679</v>
      </c>
      <c r="B232" s="136">
        <f t="shared" ref="B232:U232" si="144">B9</f>
        <v>0</v>
      </c>
      <c r="C232" s="136">
        <f t="shared" si="144"/>
        <v>0</v>
      </c>
      <c r="D232" s="136">
        <f t="shared" si="144"/>
        <v>0</v>
      </c>
      <c r="E232" s="136">
        <f t="shared" si="144"/>
        <v>0</v>
      </c>
      <c r="F232" s="136">
        <f t="shared" si="144"/>
        <v>0</v>
      </c>
      <c r="G232" s="136">
        <f t="shared" si="144"/>
        <v>0</v>
      </c>
      <c r="H232" s="136">
        <f t="shared" si="144"/>
        <v>0</v>
      </c>
      <c r="I232" s="136">
        <f t="shared" si="144"/>
        <v>0</v>
      </c>
      <c r="J232" s="136">
        <f t="shared" si="144"/>
        <v>0</v>
      </c>
      <c r="K232" s="136">
        <f t="shared" si="144"/>
        <v>0</v>
      </c>
      <c r="L232" s="136">
        <f t="shared" si="144"/>
        <v>0</v>
      </c>
      <c r="M232" s="136">
        <f t="shared" si="144"/>
        <v>0</v>
      </c>
      <c r="N232" s="136">
        <f t="shared" si="144"/>
        <v>0</v>
      </c>
      <c r="O232" s="136">
        <f t="shared" si="144"/>
        <v>0</v>
      </c>
      <c r="P232" s="136">
        <f t="shared" si="144"/>
        <v>0</v>
      </c>
      <c r="Q232" s="136">
        <f t="shared" si="144"/>
        <v>0</v>
      </c>
      <c r="R232" s="136">
        <f t="shared" si="144"/>
        <v>0</v>
      </c>
      <c r="S232" s="136">
        <f t="shared" si="144"/>
        <v>0</v>
      </c>
      <c r="T232" s="136">
        <f t="shared" si="144"/>
        <v>0</v>
      </c>
      <c r="U232" s="136">
        <f t="shared" si="144"/>
        <v>0</v>
      </c>
      <c r="V232" s="180">
        <f>SUM(B232:U232)</f>
        <v>0</v>
      </c>
      <c r="W232" s="53">
        <f>V232/20</f>
        <v>0</v>
      </c>
      <c r="Y232" s="86"/>
    </row>
    <row r="233" spans="1:25" ht="12.75">
      <c r="A233" s="200" t="s">
        <v>680</v>
      </c>
      <c r="B233" s="136">
        <f>B90</f>
        <v>1.4175E-2</v>
      </c>
      <c r="C233" s="136">
        <f t="shared" ref="C233:U233" si="145">C90</f>
        <v>1.4175E-2</v>
      </c>
      <c r="D233" s="136">
        <f t="shared" si="145"/>
        <v>1.4175E-2</v>
      </c>
      <c r="E233" s="136">
        <f t="shared" si="145"/>
        <v>1.4175E-2</v>
      </c>
      <c r="F233" s="136">
        <f t="shared" si="145"/>
        <v>1.4175E-2</v>
      </c>
      <c r="G233" s="136">
        <f t="shared" si="145"/>
        <v>1.4175E-2</v>
      </c>
      <c r="H233" s="136">
        <f t="shared" si="145"/>
        <v>1.4175E-2</v>
      </c>
      <c r="I233" s="136">
        <f t="shared" si="145"/>
        <v>1.4175E-2</v>
      </c>
      <c r="J233" s="136">
        <f t="shared" si="145"/>
        <v>1.4175E-2</v>
      </c>
      <c r="K233" s="136">
        <f t="shared" si="145"/>
        <v>1.4175E-2</v>
      </c>
      <c r="L233" s="136">
        <f t="shared" si="145"/>
        <v>1.4175E-2</v>
      </c>
      <c r="M233" s="136">
        <f t="shared" si="145"/>
        <v>1.4175E-2</v>
      </c>
      <c r="N233" s="136">
        <f t="shared" si="145"/>
        <v>1.4175E-2</v>
      </c>
      <c r="O233" s="136">
        <f t="shared" si="145"/>
        <v>1.4175E-2</v>
      </c>
      <c r="P233" s="136">
        <f t="shared" si="145"/>
        <v>1.4175E-2</v>
      </c>
      <c r="Q233" s="136">
        <f t="shared" si="145"/>
        <v>1.4175E-2</v>
      </c>
      <c r="R233" s="136">
        <f t="shared" si="145"/>
        <v>1.4175E-2</v>
      </c>
      <c r="S233" s="136">
        <f t="shared" si="145"/>
        <v>1.4175E-2</v>
      </c>
      <c r="T233" s="136">
        <f t="shared" si="145"/>
        <v>1.4175E-2</v>
      </c>
      <c r="U233" s="136">
        <f t="shared" si="145"/>
        <v>1.4175E-2</v>
      </c>
      <c r="V233" s="180">
        <f t="shared" ref="V233:V234" si="146">SUM(B233:U233)</f>
        <v>0.28349999999999992</v>
      </c>
      <c r="W233" s="53">
        <f t="shared" ref="W233:W234" si="147">V233/20</f>
        <v>1.4174999999999997E-2</v>
      </c>
    </row>
    <row r="234" spans="1:25" s="3" customFormat="1" ht="12.75">
      <c r="A234" s="49" t="s">
        <v>664</v>
      </c>
      <c r="B234" s="30">
        <f>SUM(B232:B233)</f>
        <v>1.4175E-2</v>
      </c>
      <c r="C234" s="30">
        <f t="shared" ref="C234:U234" si="148">SUM(C232:C233)</f>
        <v>1.4175E-2</v>
      </c>
      <c r="D234" s="30">
        <f t="shared" si="148"/>
        <v>1.4175E-2</v>
      </c>
      <c r="E234" s="30">
        <f t="shared" si="148"/>
        <v>1.4175E-2</v>
      </c>
      <c r="F234" s="30">
        <f t="shared" si="148"/>
        <v>1.4175E-2</v>
      </c>
      <c r="G234" s="30">
        <f t="shared" si="148"/>
        <v>1.4175E-2</v>
      </c>
      <c r="H234" s="30">
        <f t="shared" si="148"/>
        <v>1.4175E-2</v>
      </c>
      <c r="I234" s="30">
        <f t="shared" si="148"/>
        <v>1.4175E-2</v>
      </c>
      <c r="J234" s="30">
        <f t="shared" si="148"/>
        <v>1.4175E-2</v>
      </c>
      <c r="K234" s="30">
        <f t="shared" si="148"/>
        <v>1.4175E-2</v>
      </c>
      <c r="L234" s="30">
        <f t="shared" si="148"/>
        <v>1.4175E-2</v>
      </c>
      <c r="M234" s="30">
        <f t="shared" si="148"/>
        <v>1.4175E-2</v>
      </c>
      <c r="N234" s="30">
        <f t="shared" si="148"/>
        <v>1.4175E-2</v>
      </c>
      <c r="O234" s="30">
        <f t="shared" si="148"/>
        <v>1.4175E-2</v>
      </c>
      <c r="P234" s="30">
        <f t="shared" si="148"/>
        <v>1.4175E-2</v>
      </c>
      <c r="Q234" s="30">
        <f t="shared" si="148"/>
        <v>1.4175E-2</v>
      </c>
      <c r="R234" s="30">
        <f t="shared" si="148"/>
        <v>1.4175E-2</v>
      </c>
      <c r="S234" s="30">
        <f t="shared" si="148"/>
        <v>1.4175E-2</v>
      </c>
      <c r="T234" s="30">
        <f t="shared" si="148"/>
        <v>1.4175E-2</v>
      </c>
      <c r="U234" s="30">
        <f t="shared" si="148"/>
        <v>1.4175E-2</v>
      </c>
      <c r="V234" s="180">
        <f t="shared" si="146"/>
        <v>0.28349999999999992</v>
      </c>
      <c r="W234" s="53">
        <f t="shared" si="147"/>
        <v>1.4174999999999997E-2</v>
      </c>
    </row>
    <row r="235" spans="1:25" ht="13.5" customHeight="1">
      <c r="A235" s="134" t="s">
        <v>123</v>
      </c>
      <c r="B235" s="52">
        <v>0.96618357487922713</v>
      </c>
      <c r="C235" s="52">
        <v>0.93351070036640305</v>
      </c>
      <c r="D235" s="52">
        <v>0.90194270566802237</v>
      </c>
      <c r="E235" s="52">
        <v>0.87144222769857238</v>
      </c>
      <c r="F235" s="52">
        <v>0.84197316685852419</v>
      </c>
      <c r="G235" s="52">
        <v>0.81350064430775282</v>
      </c>
      <c r="H235" s="52">
        <v>0.78599096068381913</v>
      </c>
      <c r="I235" s="52">
        <v>0.75941155621625056</v>
      </c>
      <c r="J235" s="52">
        <v>0.73373097218961414</v>
      </c>
      <c r="K235" s="52">
        <v>0.70891881370977217</v>
      </c>
      <c r="L235" s="52">
        <v>0.68494571372924851</v>
      </c>
      <c r="M235" s="52">
        <v>0.66178329828912896</v>
      </c>
      <c r="N235" s="52">
        <v>0.63940415293635666</v>
      </c>
      <c r="O235" s="52">
        <v>0.61778179027667302</v>
      </c>
      <c r="P235" s="52">
        <v>0.59689061862480497</v>
      </c>
      <c r="Q235" s="52">
        <v>0.57670591171478747</v>
      </c>
      <c r="R235" s="52">
        <v>0.55720377943457733</v>
      </c>
      <c r="S235" s="52">
        <v>0.53836113955031628</v>
      </c>
      <c r="T235" s="52">
        <v>0.52015569038677911</v>
      </c>
      <c r="U235" s="52">
        <v>0.50256588443167061</v>
      </c>
      <c r="V235" s="180"/>
      <c r="W235" s="133"/>
    </row>
    <row r="236" spans="1:25" s="81" customFormat="1" ht="12.75">
      <c r="A236" s="50" t="s">
        <v>1069</v>
      </c>
      <c r="B236" s="34">
        <f t="shared" ref="B236:U236" si="149">B235*B234</f>
        <v>1.3695652173913045E-2</v>
      </c>
      <c r="C236" s="34">
        <f t="shared" si="149"/>
        <v>1.3232514177693763E-2</v>
      </c>
      <c r="D236" s="34">
        <f t="shared" si="149"/>
        <v>1.2785037852844218E-2</v>
      </c>
      <c r="E236" s="34">
        <f t="shared" si="149"/>
        <v>1.2352693577627263E-2</v>
      </c>
      <c r="F236" s="34">
        <f t="shared" si="149"/>
        <v>1.1934969640219581E-2</v>
      </c>
      <c r="G236" s="34">
        <f t="shared" si="149"/>
        <v>1.1531371633062396E-2</v>
      </c>
      <c r="H236" s="34">
        <f t="shared" si="149"/>
        <v>1.1141421867693136E-2</v>
      </c>
      <c r="I236" s="34">
        <f t="shared" si="149"/>
        <v>1.0764658809365352E-2</v>
      </c>
      <c r="J236" s="34">
        <f t="shared" si="149"/>
        <v>1.0400636530787781E-2</v>
      </c>
      <c r="K236" s="34">
        <f t="shared" si="149"/>
        <v>1.0048924184336021E-2</v>
      </c>
      <c r="L236" s="34">
        <f t="shared" si="149"/>
        <v>9.7091054921120985E-3</v>
      </c>
      <c r="M236" s="34">
        <f t="shared" si="149"/>
        <v>9.3807782532484025E-3</v>
      </c>
      <c r="N236" s="34">
        <f t="shared" si="149"/>
        <v>9.0635538678728554E-3</v>
      </c>
      <c r="O236" s="34">
        <f t="shared" si="149"/>
        <v>8.7570568771718395E-3</v>
      </c>
      <c r="P236" s="34">
        <f t="shared" si="149"/>
        <v>8.4609245190066101E-3</v>
      </c>
      <c r="Q236" s="34">
        <f t="shared" si="149"/>
        <v>8.1748062985571128E-3</v>
      </c>
      <c r="R236" s="34">
        <f t="shared" si="149"/>
        <v>7.8983635734851329E-3</v>
      </c>
      <c r="S236" s="34">
        <f t="shared" si="149"/>
        <v>7.631269153125733E-3</v>
      </c>
      <c r="T236" s="34">
        <f t="shared" si="149"/>
        <v>7.3732069112325939E-3</v>
      </c>
      <c r="U236" s="34">
        <f t="shared" si="149"/>
        <v>7.1238714118189309E-3</v>
      </c>
      <c r="V236" s="182">
        <f>SUM(B236:U236)</f>
        <v>0.20146081680517389</v>
      </c>
      <c r="W236" s="35"/>
    </row>
    <row r="237" spans="1:25" s="81" customFormat="1" ht="12.75">
      <c r="A237" s="33"/>
      <c r="B237" s="34"/>
      <c r="C237" s="34"/>
      <c r="D237" s="34"/>
      <c r="E237" s="34"/>
      <c r="F237" s="34"/>
      <c r="G237" s="34"/>
      <c r="H237" s="34"/>
      <c r="I237" s="34"/>
      <c r="J237" s="34"/>
      <c r="K237" s="34"/>
      <c r="L237" s="34"/>
      <c r="M237" s="34"/>
      <c r="N237" s="34"/>
      <c r="O237" s="34"/>
      <c r="P237" s="34"/>
      <c r="Q237" s="34"/>
      <c r="R237" s="34"/>
      <c r="S237" s="34"/>
      <c r="T237" s="34"/>
      <c r="U237" s="34"/>
      <c r="V237" s="182"/>
      <c r="W237" s="35"/>
    </row>
    <row r="238" spans="1:25" ht="12.75">
      <c r="A238" s="139" t="s">
        <v>1087</v>
      </c>
      <c r="B238" s="81"/>
      <c r="C238" s="81"/>
      <c r="D238" s="81"/>
      <c r="E238" s="81"/>
      <c r="F238" s="81"/>
      <c r="G238" s="81"/>
      <c r="H238" s="81"/>
      <c r="I238" s="81"/>
      <c r="J238" s="81"/>
      <c r="K238" s="81"/>
      <c r="L238" s="81"/>
      <c r="M238" s="81"/>
      <c r="N238" s="81"/>
      <c r="O238" s="81"/>
      <c r="P238" s="81"/>
      <c r="Q238" s="81"/>
      <c r="R238" s="81"/>
      <c r="S238" s="81"/>
      <c r="T238" s="81"/>
      <c r="U238" s="81"/>
      <c r="V238" s="179"/>
      <c r="W238" s="140"/>
    </row>
    <row r="239" spans="1:25" ht="12.75">
      <c r="A239" s="200" t="s">
        <v>679</v>
      </c>
      <c r="B239" s="136">
        <v>0</v>
      </c>
      <c r="C239" s="136">
        <v>0</v>
      </c>
      <c r="D239" s="136">
        <v>0</v>
      </c>
      <c r="E239" s="136">
        <v>0</v>
      </c>
      <c r="F239" s="136">
        <v>0</v>
      </c>
      <c r="G239" s="136">
        <v>0</v>
      </c>
      <c r="H239" s="136">
        <v>0</v>
      </c>
      <c r="I239" s="136">
        <v>0</v>
      </c>
      <c r="J239" s="136">
        <v>0</v>
      </c>
      <c r="K239" s="136">
        <v>0</v>
      </c>
      <c r="L239" s="136">
        <v>0</v>
      </c>
      <c r="M239" s="136">
        <v>0</v>
      </c>
      <c r="N239" s="136">
        <v>0</v>
      </c>
      <c r="O239" s="136">
        <v>0</v>
      </c>
      <c r="P239" s="136">
        <v>0</v>
      </c>
      <c r="Q239" s="136">
        <v>0</v>
      </c>
      <c r="R239" s="136">
        <v>0</v>
      </c>
      <c r="S239" s="136">
        <v>0</v>
      </c>
      <c r="T239" s="136">
        <v>0</v>
      </c>
      <c r="U239" s="136">
        <v>0</v>
      </c>
      <c r="V239" s="180">
        <f>SUM(B239:U239)</f>
        <v>0</v>
      </c>
      <c r="W239" s="53">
        <f>V239/20</f>
        <v>0</v>
      </c>
    </row>
    <row r="240" spans="1:25" ht="12.75">
      <c r="A240" s="200" t="s">
        <v>680</v>
      </c>
      <c r="B240" s="136">
        <f t="shared" ref="B240:U240" si="150">B89</f>
        <v>4.0499999999999998E-3</v>
      </c>
      <c r="C240" s="136">
        <f t="shared" si="150"/>
        <v>4.0499999999999998E-3</v>
      </c>
      <c r="D240" s="136">
        <f t="shared" si="150"/>
        <v>4.0499999999999998E-3</v>
      </c>
      <c r="E240" s="136">
        <f t="shared" si="150"/>
        <v>4.0499999999999998E-3</v>
      </c>
      <c r="F240" s="136">
        <f t="shared" si="150"/>
        <v>4.0499999999999998E-3</v>
      </c>
      <c r="G240" s="136">
        <f t="shared" si="150"/>
        <v>4.0499999999999998E-3</v>
      </c>
      <c r="H240" s="136">
        <f t="shared" si="150"/>
        <v>4.0499999999999998E-3</v>
      </c>
      <c r="I240" s="136">
        <f t="shared" si="150"/>
        <v>4.0499999999999998E-3</v>
      </c>
      <c r="J240" s="136">
        <f t="shared" si="150"/>
        <v>4.0499999999999998E-3</v>
      </c>
      <c r="K240" s="136">
        <f t="shared" si="150"/>
        <v>4.0499999999999998E-3</v>
      </c>
      <c r="L240" s="136">
        <f t="shared" si="150"/>
        <v>4.0499999999999998E-3</v>
      </c>
      <c r="M240" s="136">
        <f t="shared" si="150"/>
        <v>4.0499999999999998E-3</v>
      </c>
      <c r="N240" s="136">
        <f t="shared" si="150"/>
        <v>4.0499999999999998E-3</v>
      </c>
      <c r="O240" s="136">
        <f t="shared" si="150"/>
        <v>4.0499999999999998E-3</v>
      </c>
      <c r="P240" s="136">
        <f t="shared" si="150"/>
        <v>4.0499999999999998E-3</v>
      </c>
      <c r="Q240" s="136">
        <f t="shared" si="150"/>
        <v>4.0499999999999998E-3</v>
      </c>
      <c r="R240" s="136">
        <f t="shared" si="150"/>
        <v>4.0499999999999998E-3</v>
      </c>
      <c r="S240" s="136">
        <f t="shared" si="150"/>
        <v>4.0499999999999998E-3</v>
      </c>
      <c r="T240" s="136">
        <f t="shared" si="150"/>
        <v>4.0499999999999998E-3</v>
      </c>
      <c r="U240" s="136">
        <f t="shared" si="150"/>
        <v>4.0499999999999998E-3</v>
      </c>
      <c r="V240" s="180">
        <f t="shared" ref="V240:V241" si="151">SUM(B240:U240)</f>
        <v>8.0999999999999975E-2</v>
      </c>
      <c r="W240" s="53">
        <f t="shared" ref="W240:W241" si="152">V240/20</f>
        <v>4.0499999999999989E-3</v>
      </c>
    </row>
    <row r="241" spans="1:23" s="3" customFormat="1" ht="12.75">
      <c r="A241" s="49" t="s">
        <v>664</v>
      </c>
      <c r="B241" s="30">
        <f>SUM(B239:B240)</f>
        <v>4.0499999999999998E-3</v>
      </c>
      <c r="C241" s="30">
        <f t="shared" ref="C241:U241" si="153">SUM(C239:C240)</f>
        <v>4.0499999999999998E-3</v>
      </c>
      <c r="D241" s="30">
        <f t="shared" si="153"/>
        <v>4.0499999999999998E-3</v>
      </c>
      <c r="E241" s="30">
        <f t="shared" si="153"/>
        <v>4.0499999999999998E-3</v>
      </c>
      <c r="F241" s="30">
        <f t="shared" si="153"/>
        <v>4.0499999999999998E-3</v>
      </c>
      <c r="G241" s="30">
        <f t="shared" si="153"/>
        <v>4.0499999999999998E-3</v>
      </c>
      <c r="H241" s="30">
        <f t="shared" si="153"/>
        <v>4.0499999999999998E-3</v>
      </c>
      <c r="I241" s="30">
        <f t="shared" si="153"/>
        <v>4.0499999999999998E-3</v>
      </c>
      <c r="J241" s="30">
        <f t="shared" si="153"/>
        <v>4.0499999999999998E-3</v>
      </c>
      <c r="K241" s="30">
        <f t="shared" si="153"/>
        <v>4.0499999999999998E-3</v>
      </c>
      <c r="L241" s="30">
        <f t="shared" si="153"/>
        <v>4.0499999999999998E-3</v>
      </c>
      <c r="M241" s="30">
        <f t="shared" si="153"/>
        <v>4.0499999999999998E-3</v>
      </c>
      <c r="N241" s="30">
        <f t="shared" si="153"/>
        <v>4.0499999999999998E-3</v>
      </c>
      <c r="O241" s="30">
        <f t="shared" si="153"/>
        <v>4.0499999999999998E-3</v>
      </c>
      <c r="P241" s="30">
        <f t="shared" si="153"/>
        <v>4.0499999999999998E-3</v>
      </c>
      <c r="Q241" s="30">
        <f t="shared" si="153"/>
        <v>4.0499999999999998E-3</v>
      </c>
      <c r="R241" s="30">
        <f t="shared" si="153"/>
        <v>4.0499999999999998E-3</v>
      </c>
      <c r="S241" s="30">
        <f t="shared" si="153"/>
        <v>4.0499999999999998E-3</v>
      </c>
      <c r="T241" s="30">
        <f t="shared" si="153"/>
        <v>4.0499999999999998E-3</v>
      </c>
      <c r="U241" s="30">
        <f t="shared" si="153"/>
        <v>4.0499999999999998E-3</v>
      </c>
      <c r="V241" s="180">
        <f t="shared" si="151"/>
        <v>8.0999999999999975E-2</v>
      </c>
      <c r="W241" s="53">
        <f t="shared" si="152"/>
        <v>4.0499999999999989E-3</v>
      </c>
    </row>
    <row r="242" spans="1:23" ht="13.5" customHeight="1">
      <c r="A242" s="134" t="s">
        <v>123</v>
      </c>
      <c r="B242" s="52">
        <v>0.96618357487922713</v>
      </c>
      <c r="C242" s="52">
        <v>0.93351070036640305</v>
      </c>
      <c r="D242" s="52">
        <v>0.90194270566802237</v>
      </c>
      <c r="E242" s="52">
        <v>0.87144222769857238</v>
      </c>
      <c r="F242" s="52">
        <v>0.84197316685852419</v>
      </c>
      <c r="G242" s="52">
        <v>0.81350064430775282</v>
      </c>
      <c r="H242" s="52">
        <v>0.78599096068381913</v>
      </c>
      <c r="I242" s="52">
        <v>0.75941155621625056</v>
      </c>
      <c r="J242" s="52">
        <v>0.73373097218961414</v>
      </c>
      <c r="K242" s="52">
        <v>0.70891881370977217</v>
      </c>
      <c r="L242" s="52">
        <v>0.68494571372924851</v>
      </c>
      <c r="M242" s="52">
        <v>0.66178329828912896</v>
      </c>
      <c r="N242" s="52">
        <v>0.63940415293635666</v>
      </c>
      <c r="O242" s="52">
        <v>0.61778179027667302</v>
      </c>
      <c r="P242" s="52">
        <v>0.59689061862480497</v>
      </c>
      <c r="Q242" s="52">
        <v>0.57670591171478747</v>
      </c>
      <c r="R242" s="52">
        <v>0.55720377943457733</v>
      </c>
      <c r="S242" s="52">
        <v>0.53836113955031628</v>
      </c>
      <c r="T242" s="52">
        <v>0.52015569038677911</v>
      </c>
      <c r="U242" s="52">
        <v>0.50256588443167061</v>
      </c>
      <c r="V242" s="180"/>
      <c r="W242" s="133"/>
    </row>
    <row r="243" spans="1:23" s="81" customFormat="1" ht="12.75">
      <c r="A243" s="50" t="s">
        <v>1069</v>
      </c>
      <c r="B243" s="34">
        <f t="shared" ref="B243:U243" si="154">B242*B241</f>
        <v>3.9130434782608699E-3</v>
      </c>
      <c r="C243" s="34">
        <f t="shared" si="154"/>
        <v>3.780718336483932E-3</v>
      </c>
      <c r="D243" s="34">
        <f t="shared" si="154"/>
        <v>3.6528679579554903E-3</v>
      </c>
      <c r="E243" s="34">
        <f t="shared" si="154"/>
        <v>3.5293410221792177E-3</v>
      </c>
      <c r="F243" s="34">
        <f t="shared" si="154"/>
        <v>3.4099913257770228E-3</v>
      </c>
      <c r="G243" s="34">
        <f t="shared" si="154"/>
        <v>3.2946776094463989E-3</v>
      </c>
      <c r="H243" s="34">
        <f t="shared" si="154"/>
        <v>3.1832633907694671E-3</v>
      </c>
      <c r="I243" s="34">
        <f t="shared" si="154"/>
        <v>3.0756168026758145E-3</v>
      </c>
      <c r="J243" s="34">
        <f t="shared" si="154"/>
        <v>2.971610437367937E-3</v>
      </c>
      <c r="K243" s="34">
        <f t="shared" si="154"/>
        <v>2.8711211955245769E-3</v>
      </c>
      <c r="L243" s="34">
        <f t="shared" si="154"/>
        <v>2.7740301406034562E-3</v>
      </c>
      <c r="M243" s="34">
        <f t="shared" si="154"/>
        <v>2.6802223580709721E-3</v>
      </c>
      <c r="N243" s="34">
        <f t="shared" si="154"/>
        <v>2.5895868193922442E-3</v>
      </c>
      <c r="O243" s="34">
        <f t="shared" si="154"/>
        <v>2.5020162506205258E-3</v>
      </c>
      <c r="P243" s="34">
        <f t="shared" si="154"/>
        <v>2.4174070054304598E-3</v>
      </c>
      <c r="Q243" s="34">
        <f t="shared" si="154"/>
        <v>2.3356589424448891E-3</v>
      </c>
      <c r="R243" s="34">
        <f t="shared" si="154"/>
        <v>2.2566753067100381E-3</v>
      </c>
      <c r="S243" s="34">
        <f t="shared" si="154"/>
        <v>2.1803626151787807E-3</v>
      </c>
      <c r="T243" s="34">
        <f t="shared" si="154"/>
        <v>2.1066305460664555E-3</v>
      </c>
      <c r="U243" s="34">
        <f t="shared" si="154"/>
        <v>2.035391831948266E-3</v>
      </c>
      <c r="V243" s="182">
        <f>SUM(B243:U243)</f>
        <v>5.7560233372906812E-2</v>
      </c>
      <c r="W243" s="35"/>
    </row>
    <row r="244" spans="1:23" s="81" customFormat="1" thickBot="1">
      <c r="A244" s="33"/>
      <c r="B244" s="34"/>
      <c r="C244" s="34"/>
      <c r="D244" s="34"/>
      <c r="E244" s="34"/>
      <c r="F244" s="34"/>
      <c r="G244" s="34"/>
      <c r="H244" s="34"/>
      <c r="I244" s="34"/>
      <c r="J244" s="34"/>
      <c r="K244" s="34"/>
      <c r="L244" s="34"/>
      <c r="M244" s="34"/>
      <c r="N244" s="34"/>
      <c r="O244" s="34"/>
      <c r="P244" s="34"/>
      <c r="Q244" s="34"/>
      <c r="R244" s="34"/>
      <c r="S244" s="34"/>
      <c r="T244" s="34"/>
      <c r="U244" s="34"/>
      <c r="V244" s="182"/>
      <c r="W244" s="35"/>
    </row>
    <row r="245" spans="1:23" ht="12.75">
      <c r="A245" s="174"/>
      <c r="B245" s="128"/>
      <c r="C245" s="128"/>
      <c r="D245" s="128"/>
      <c r="E245" s="128"/>
      <c r="F245" s="128"/>
      <c r="G245" s="128"/>
      <c r="H245" s="128"/>
      <c r="I245" s="128"/>
      <c r="J245" s="128"/>
      <c r="K245" s="128"/>
      <c r="L245" s="128"/>
      <c r="M245" s="128"/>
      <c r="N245" s="128"/>
      <c r="O245" s="128"/>
      <c r="P245" s="128"/>
      <c r="Q245" s="128"/>
      <c r="R245" s="128"/>
      <c r="S245" s="128"/>
      <c r="T245" s="128"/>
      <c r="U245" s="128"/>
      <c r="V245" s="178"/>
      <c r="W245" s="130"/>
    </row>
    <row r="246" spans="1:23" ht="12.75">
      <c r="A246" s="158" t="s">
        <v>653</v>
      </c>
      <c r="B246" s="81"/>
      <c r="C246" s="81"/>
      <c r="D246" s="81"/>
      <c r="E246" s="81"/>
      <c r="F246" s="81"/>
      <c r="G246" s="81"/>
      <c r="H246" s="81"/>
      <c r="I246" s="81"/>
      <c r="J246" s="81"/>
      <c r="K246" s="81"/>
      <c r="L246" s="81"/>
      <c r="M246" s="81"/>
      <c r="N246" s="81"/>
      <c r="O246" s="81"/>
      <c r="P246" s="81"/>
      <c r="Q246" s="81"/>
      <c r="R246" s="81"/>
      <c r="S246" s="81"/>
      <c r="T246" s="81"/>
      <c r="U246" s="81"/>
      <c r="V246" s="179"/>
      <c r="W246" s="140"/>
    </row>
    <row r="247" spans="1:23" ht="12.75">
      <c r="A247" s="139"/>
      <c r="B247" s="81"/>
      <c r="C247" s="81"/>
      <c r="D247" s="81"/>
      <c r="E247" s="81"/>
      <c r="F247" s="81"/>
      <c r="G247" s="81"/>
      <c r="H247" s="81"/>
      <c r="I247" s="81"/>
      <c r="J247" s="81"/>
      <c r="K247" s="81"/>
      <c r="L247" s="81"/>
      <c r="M247" s="81"/>
      <c r="N247" s="81"/>
      <c r="O247" s="81"/>
      <c r="P247" s="81"/>
      <c r="Q247" s="81"/>
      <c r="R247" s="81"/>
      <c r="S247" s="81"/>
      <c r="T247" s="81"/>
      <c r="U247" s="81"/>
      <c r="V247" s="179"/>
      <c r="W247" s="140"/>
    </row>
    <row r="248" spans="1:23" ht="12.75">
      <c r="A248" s="139" t="s">
        <v>1082</v>
      </c>
      <c r="B248" s="81"/>
      <c r="C248" s="81"/>
      <c r="D248" s="81"/>
      <c r="E248" s="81"/>
      <c r="F248" s="81"/>
      <c r="G248" s="81"/>
      <c r="H248" s="81"/>
      <c r="I248" s="81"/>
      <c r="J248" s="81"/>
      <c r="K248" s="81"/>
      <c r="L248" s="81"/>
      <c r="M248" s="81"/>
      <c r="N248" s="81"/>
      <c r="O248" s="81"/>
      <c r="P248" s="81"/>
      <c r="Q248" s="81"/>
      <c r="R248" s="81"/>
      <c r="S248" s="81"/>
      <c r="T248" s="81"/>
      <c r="U248" s="81"/>
      <c r="V248" s="179"/>
      <c r="W248" s="140"/>
    </row>
    <row r="249" spans="1:23" ht="12.75">
      <c r="A249" s="200" t="s">
        <v>679</v>
      </c>
      <c r="B249" s="136">
        <f t="shared" ref="B249:U249" si="155">B41</f>
        <v>6.7499999999999999E-3</v>
      </c>
      <c r="C249" s="136">
        <f t="shared" si="155"/>
        <v>0</v>
      </c>
      <c r="D249" s="136">
        <f t="shared" si="155"/>
        <v>0</v>
      </c>
      <c r="E249" s="136">
        <f t="shared" si="155"/>
        <v>6.7499999999999999E-3</v>
      </c>
      <c r="F249" s="136">
        <f t="shared" si="155"/>
        <v>0</v>
      </c>
      <c r="G249" s="136">
        <f t="shared" si="155"/>
        <v>0</v>
      </c>
      <c r="H249" s="136">
        <f t="shared" si="155"/>
        <v>6.7499999999999999E-3</v>
      </c>
      <c r="I249" s="136">
        <f t="shared" si="155"/>
        <v>0</v>
      </c>
      <c r="J249" s="136">
        <f t="shared" si="155"/>
        <v>0</v>
      </c>
      <c r="K249" s="136">
        <f t="shared" si="155"/>
        <v>6.7499999999999999E-3</v>
      </c>
      <c r="L249" s="136">
        <f t="shared" si="155"/>
        <v>0</v>
      </c>
      <c r="M249" s="136">
        <f t="shared" si="155"/>
        <v>0</v>
      </c>
      <c r="N249" s="136">
        <f t="shared" si="155"/>
        <v>6.7499999999999999E-3</v>
      </c>
      <c r="O249" s="136">
        <f t="shared" si="155"/>
        <v>0</v>
      </c>
      <c r="P249" s="136">
        <f t="shared" si="155"/>
        <v>0</v>
      </c>
      <c r="Q249" s="136">
        <f t="shared" si="155"/>
        <v>6.7499999999999999E-3</v>
      </c>
      <c r="R249" s="136">
        <f t="shared" si="155"/>
        <v>0</v>
      </c>
      <c r="S249" s="136">
        <f t="shared" si="155"/>
        <v>0</v>
      </c>
      <c r="T249" s="136">
        <f t="shared" si="155"/>
        <v>6.7499999999999999E-3</v>
      </c>
      <c r="U249" s="136">
        <f t="shared" si="155"/>
        <v>0</v>
      </c>
      <c r="V249" s="180">
        <f>SUM(B249:U249)</f>
        <v>4.725E-2</v>
      </c>
      <c r="W249" s="53">
        <f>V249/20</f>
        <v>2.3625E-3</v>
      </c>
    </row>
    <row r="250" spans="1:23" ht="12.75">
      <c r="A250" s="200" t="s">
        <v>680</v>
      </c>
      <c r="B250" s="136">
        <f t="shared" ref="B250:U250" si="156">B69</f>
        <v>2.2950000000000002E-2</v>
      </c>
      <c r="C250" s="136">
        <f t="shared" si="156"/>
        <v>2.2950000000000002E-2</v>
      </c>
      <c r="D250" s="136">
        <f t="shared" si="156"/>
        <v>2.2950000000000002E-2</v>
      </c>
      <c r="E250" s="136">
        <f t="shared" si="156"/>
        <v>2.2950000000000002E-2</v>
      </c>
      <c r="F250" s="136">
        <f t="shared" si="156"/>
        <v>2.2950000000000002E-2</v>
      </c>
      <c r="G250" s="136">
        <f t="shared" si="156"/>
        <v>2.2950000000000002E-2</v>
      </c>
      <c r="H250" s="136">
        <f t="shared" si="156"/>
        <v>2.2950000000000002E-2</v>
      </c>
      <c r="I250" s="136">
        <f t="shared" si="156"/>
        <v>2.2950000000000002E-2</v>
      </c>
      <c r="J250" s="136">
        <f t="shared" si="156"/>
        <v>2.2950000000000002E-2</v>
      </c>
      <c r="K250" s="136">
        <f t="shared" si="156"/>
        <v>2.2950000000000002E-2</v>
      </c>
      <c r="L250" s="136">
        <f t="shared" si="156"/>
        <v>2.2950000000000002E-2</v>
      </c>
      <c r="M250" s="136">
        <f t="shared" si="156"/>
        <v>2.2950000000000002E-2</v>
      </c>
      <c r="N250" s="136">
        <f t="shared" si="156"/>
        <v>2.2950000000000002E-2</v>
      </c>
      <c r="O250" s="136">
        <f t="shared" si="156"/>
        <v>2.2950000000000002E-2</v>
      </c>
      <c r="P250" s="136">
        <f t="shared" si="156"/>
        <v>2.2950000000000002E-2</v>
      </c>
      <c r="Q250" s="136">
        <f t="shared" si="156"/>
        <v>2.2950000000000002E-2</v>
      </c>
      <c r="R250" s="136">
        <f t="shared" si="156"/>
        <v>2.2950000000000002E-2</v>
      </c>
      <c r="S250" s="136">
        <f t="shared" si="156"/>
        <v>2.2950000000000002E-2</v>
      </c>
      <c r="T250" s="136">
        <f t="shared" si="156"/>
        <v>2.2950000000000002E-2</v>
      </c>
      <c r="U250" s="136">
        <f t="shared" si="156"/>
        <v>2.2950000000000002E-2</v>
      </c>
      <c r="V250" s="180">
        <f t="shared" ref="V250:V251" si="157">SUM(B250:U250)</f>
        <v>0.45900000000000024</v>
      </c>
      <c r="W250" s="53">
        <f t="shared" ref="W250:W251" si="158">V250/20</f>
        <v>2.2950000000000012E-2</v>
      </c>
    </row>
    <row r="251" spans="1:23" s="3" customFormat="1" ht="12.75">
      <c r="A251" s="49" t="s">
        <v>664</v>
      </c>
      <c r="B251" s="30">
        <f>SUM(B249:B250)</f>
        <v>2.9700000000000001E-2</v>
      </c>
      <c r="C251" s="30">
        <f t="shared" ref="C251:U251" si="159">SUM(C249:C250)</f>
        <v>2.2950000000000002E-2</v>
      </c>
      <c r="D251" s="30">
        <f t="shared" si="159"/>
        <v>2.2950000000000002E-2</v>
      </c>
      <c r="E251" s="30">
        <f t="shared" si="159"/>
        <v>2.9700000000000001E-2</v>
      </c>
      <c r="F251" s="30">
        <f t="shared" si="159"/>
        <v>2.2950000000000002E-2</v>
      </c>
      <c r="G251" s="30">
        <f t="shared" si="159"/>
        <v>2.2950000000000002E-2</v>
      </c>
      <c r="H251" s="30">
        <f t="shared" si="159"/>
        <v>2.9700000000000001E-2</v>
      </c>
      <c r="I251" s="30">
        <f t="shared" si="159"/>
        <v>2.2950000000000002E-2</v>
      </c>
      <c r="J251" s="30">
        <f t="shared" si="159"/>
        <v>2.2950000000000002E-2</v>
      </c>
      <c r="K251" s="30">
        <f t="shared" si="159"/>
        <v>2.9700000000000001E-2</v>
      </c>
      <c r="L251" s="30">
        <f t="shared" si="159"/>
        <v>2.2950000000000002E-2</v>
      </c>
      <c r="M251" s="30">
        <f t="shared" si="159"/>
        <v>2.2950000000000002E-2</v>
      </c>
      <c r="N251" s="30">
        <f t="shared" si="159"/>
        <v>2.9700000000000001E-2</v>
      </c>
      <c r="O251" s="30">
        <f t="shared" si="159"/>
        <v>2.2950000000000002E-2</v>
      </c>
      <c r="P251" s="30">
        <f t="shared" si="159"/>
        <v>2.2950000000000002E-2</v>
      </c>
      <c r="Q251" s="30">
        <f t="shared" si="159"/>
        <v>2.9700000000000001E-2</v>
      </c>
      <c r="R251" s="30">
        <f t="shared" si="159"/>
        <v>2.2950000000000002E-2</v>
      </c>
      <c r="S251" s="30">
        <f t="shared" si="159"/>
        <v>2.2950000000000002E-2</v>
      </c>
      <c r="T251" s="30">
        <f t="shared" si="159"/>
        <v>2.9700000000000001E-2</v>
      </c>
      <c r="U251" s="30">
        <f t="shared" si="159"/>
        <v>2.2950000000000002E-2</v>
      </c>
      <c r="V251" s="180">
        <f t="shared" si="157"/>
        <v>0.5062500000000002</v>
      </c>
      <c r="W251" s="53">
        <f t="shared" si="158"/>
        <v>2.5312500000000009E-2</v>
      </c>
    </row>
    <row r="252" spans="1:23" ht="13.5" customHeight="1">
      <c r="A252" s="134" t="s">
        <v>123</v>
      </c>
      <c r="B252" s="52">
        <v>0.96618357487922713</v>
      </c>
      <c r="C252" s="52">
        <v>0.93351070036640305</v>
      </c>
      <c r="D252" s="52">
        <v>0.90194270566802237</v>
      </c>
      <c r="E252" s="52">
        <v>0.87144222769857238</v>
      </c>
      <c r="F252" s="52">
        <v>0.84197316685852419</v>
      </c>
      <c r="G252" s="52">
        <v>0.81350064430775282</v>
      </c>
      <c r="H252" s="52">
        <v>0.78599096068381913</v>
      </c>
      <c r="I252" s="52">
        <v>0.75941155621625056</v>
      </c>
      <c r="J252" s="52">
        <v>0.73373097218961414</v>
      </c>
      <c r="K252" s="52">
        <v>0.70891881370977217</v>
      </c>
      <c r="L252" s="52">
        <v>0.68494571372924851</v>
      </c>
      <c r="M252" s="52">
        <v>0.66178329828912896</v>
      </c>
      <c r="N252" s="52">
        <v>0.63940415293635666</v>
      </c>
      <c r="O252" s="52">
        <v>0.61778179027667302</v>
      </c>
      <c r="P252" s="52">
        <v>0.59689061862480497</v>
      </c>
      <c r="Q252" s="52">
        <v>0.57670591171478747</v>
      </c>
      <c r="R252" s="52">
        <v>0.55720377943457733</v>
      </c>
      <c r="S252" s="52">
        <v>0.53836113955031628</v>
      </c>
      <c r="T252" s="52">
        <v>0.52015569038677911</v>
      </c>
      <c r="U252" s="52">
        <v>0.50256588443167061</v>
      </c>
      <c r="V252" s="180"/>
      <c r="W252" s="133"/>
    </row>
    <row r="253" spans="1:23" s="81" customFormat="1" ht="12.75">
      <c r="A253" s="50" t="s">
        <v>1069</v>
      </c>
      <c r="B253" s="34">
        <f t="shared" ref="B253:U253" si="160">B252*B251</f>
        <v>2.8695652173913046E-2</v>
      </c>
      <c r="C253" s="34">
        <f t="shared" si="160"/>
        <v>2.1424070573408952E-2</v>
      </c>
      <c r="D253" s="34">
        <f t="shared" si="160"/>
        <v>2.0699585095081116E-2</v>
      </c>
      <c r="E253" s="34">
        <f t="shared" si="160"/>
        <v>2.58818341626476E-2</v>
      </c>
      <c r="F253" s="34">
        <f t="shared" si="160"/>
        <v>1.9323284179403131E-2</v>
      </c>
      <c r="G253" s="34">
        <f t="shared" si="160"/>
        <v>1.866983978686293E-2</v>
      </c>
      <c r="H253" s="34">
        <f t="shared" si="160"/>
        <v>2.3343931532309427E-2</v>
      </c>
      <c r="I253" s="34">
        <f t="shared" si="160"/>
        <v>1.7428495215162952E-2</v>
      </c>
      <c r="J253" s="34">
        <f t="shared" si="160"/>
        <v>1.6839125811751645E-2</v>
      </c>
      <c r="K253" s="34">
        <f t="shared" si="160"/>
        <v>2.1054888767180233E-2</v>
      </c>
      <c r="L253" s="34">
        <f t="shared" si="160"/>
        <v>1.5719504130086253E-2</v>
      </c>
      <c r="M253" s="34">
        <f t="shared" si="160"/>
        <v>1.518792669573551E-2</v>
      </c>
      <c r="N253" s="34">
        <f t="shared" si="160"/>
        <v>1.8990303342209792E-2</v>
      </c>
      <c r="O253" s="34">
        <f t="shared" si="160"/>
        <v>1.4178092086849647E-2</v>
      </c>
      <c r="P253" s="34">
        <f t="shared" si="160"/>
        <v>1.3698639697439275E-2</v>
      </c>
      <c r="Q253" s="34">
        <f t="shared" si="160"/>
        <v>1.7128165577929188E-2</v>
      </c>
      <c r="R253" s="34">
        <f t="shared" si="160"/>
        <v>1.2787826738023551E-2</v>
      </c>
      <c r="S253" s="34">
        <f t="shared" si="160"/>
        <v>1.235538815267976E-2</v>
      </c>
      <c r="T253" s="34">
        <f t="shared" si="160"/>
        <v>1.544862400448734E-2</v>
      </c>
      <c r="U253" s="34">
        <f t="shared" si="160"/>
        <v>1.1533887047706842E-2</v>
      </c>
      <c r="V253" s="182">
        <f>SUM(B253:U253)</f>
        <v>0.36038906477086824</v>
      </c>
      <c r="W253" s="35"/>
    </row>
    <row r="254" spans="1:23" s="81" customFormat="1" ht="12.75">
      <c r="A254" s="33"/>
      <c r="B254" s="34"/>
      <c r="C254" s="34"/>
      <c r="D254" s="34"/>
      <c r="E254" s="34"/>
      <c r="F254" s="34"/>
      <c r="G254" s="34"/>
      <c r="H254" s="34"/>
      <c r="I254" s="34"/>
      <c r="J254" s="34"/>
      <c r="K254" s="34"/>
      <c r="L254" s="34"/>
      <c r="M254" s="34"/>
      <c r="N254" s="34"/>
      <c r="O254" s="34"/>
      <c r="P254" s="34"/>
      <c r="Q254" s="34"/>
      <c r="R254" s="34"/>
      <c r="S254" s="34"/>
      <c r="T254" s="34"/>
      <c r="U254" s="34"/>
      <c r="V254" s="182"/>
      <c r="W254" s="35"/>
    </row>
    <row r="255" spans="1:23" ht="12.75">
      <c r="A255" s="86" t="s">
        <v>1084</v>
      </c>
      <c r="B255" s="81"/>
      <c r="C255" s="81"/>
      <c r="D255" s="81"/>
      <c r="E255" s="81"/>
      <c r="F255" s="81"/>
      <c r="G255" s="81"/>
      <c r="H255" s="81"/>
      <c r="I255" s="81"/>
      <c r="J255" s="81"/>
      <c r="K255" s="81"/>
      <c r="L255" s="81"/>
      <c r="M255" s="81"/>
      <c r="N255" s="81"/>
      <c r="O255" s="81"/>
      <c r="P255" s="81"/>
      <c r="Q255" s="81"/>
      <c r="R255" s="81"/>
      <c r="S255" s="81"/>
      <c r="T255" s="81"/>
      <c r="U255" s="81"/>
      <c r="V255" s="179"/>
      <c r="W255" s="140"/>
    </row>
    <row r="256" spans="1:23" ht="12.75">
      <c r="A256" s="200" t="s">
        <v>679</v>
      </c>
      <c r="B256" s="136">
        <v>0</v>
      </c>
      <c r="C256" s="136">
        <v>0</v>
      </c>
      <c r="D256" s="136">
        <v>0</v>
      </c>
      <c r="E256" s="136">
        <v>0</v>
      </c>
      <c r="F256" s="136">
        <v>0</v>
      </c>
      <c r="G256" s="136">
        <v>0</v>
      </c>
      <c r="H256" s="136">
        <v>0</v>
      </c>
      <c r="I256" s="136">
        <v>0</v>
      </c>
      <c r="J256" s="136">
        <v>0</v>
      </c>
      <c r="K256" s="136">
        <v>0</v>
      </c>
      <c r="L256" s="136">
        <v>0</v>
      </c>
      <c r="M256" s="136">
        <v>0</v>
      </c>
      <c r="N256" s="136">
        <v>0</v>
      </c>
      <c r="O256" s="136">
        <v>0</v>
      </c>
      <c r="P256" s="136">
        <v>0</v>
      </c>
      <c r="Q256" s="136">
        <v>0</v>
      </c>
      <c r="R256" s="136">
        <v>0</v>
      </c>
      <c r="S256" s="136">
        <v>0</v>
      </c>
      <c r="T256" s="136">
        <v>0</v>
      </c>
      <c r="U256" s="136">
        <v>0</v>
      </c>
      <c r="V256" s="180">
        <f>SUM(B256:U256)</f>
        <v>0</v>
      </c>
      <c r="W256" s="53">
        <f>V256/20</f>
        <v>0</v>
      </c>
    </row>
    <row r="257" spans="1:23" ht="12.75">
      <c r="A257" s="200" t="s">
        <v>680</v>
      </c>
      <c r="B257" s="136">
        <f t="shared" ref="B257:U257" si="161">B68</f>
        <v>0.11272499999999999</v>
      </c>
      <c r="C257" s="136">
        <f t="shared" si="161"/>
        <v>0.11272499999999999</v>
      </c>
      <c r="D257" s="136">
        <f t="shared" si="161"/>
        <v>0.11272499999999999</v>
      </c>
      <c r="E257" s="136">
        <f t="shared" si="161"/>
        <v>0.11272499999999999</v>
      </c>
      <c r="F257" s="136">
        <f t="shared" si="161"/>
        <v>0.11272499999999999</v>
      </c>
      <c r="G257" s="136">
        <f t="shared" si="161"/>
        <v>0.11272499999999999</v>
      </c>
      <c r="H257" s="136">
        <f t="shared" si="161"/>
        <v>0.11272499999999999</v>
      </c>
      <c r="I257" s="136">
        <f t="shared" si="161"/>
        <v>0.11272499999999999</v>
      </c>
      <c r="J257" s="136">
        <f t="shared" si="161"/>
        <v>0.11272499999999999</v>
      </c>
      <c r="K257" s="136">
        <f t="shared" si="161"/>
        <v>0.11272499999999999</v>
      </c>
      <c r="L257" s="136">
        <f t="shared" si="161"/>
        <v>0.11272499999999999</v>
      </c>
      <c r="M257" s="136">
        <f t="shared" si="161"/>
        <v>0.11272499999999999</v>
      </c>
      <c r="N257" s="136">
        <f t="shared" si="161"/>
        <v>0.11272499999999999</v>
      </c>
      <c r="O257" s="136">
        <f t="shared" si="161"/>
        <v>0.11272499999999999</v>
      </c>
      <c r="P257" s="136">
        <f t="shared" si="161"/>
        <v>0.11272499999999999</v>
      </c>
      <c r="Q257" s="136">
        <f t="shared" si="161"/>
        <v>0.11272499999999999</v>
      </c>
      <c r="R257" s="136">
        <f t="shared" si="161"/>
        <v>0.11272499999999999</v>
      </c>
      <c r="S257" s="136">
        <f t="shared" si="161"/>
        <v>0.11272499999999999</v>
      </c>
      <c r="T257" s="136">
        <f t="shared" si="161"/>
        <v>0.11272499999999999</v>
      </c>
      <c r="U257" s="136">
        <f t="shared" si="161"/>
        <v>0.11272499999999999</v>
      </c>
      <c r="V257" s="180">
        <f t="shared" ref="V257:V258" si="162">SUM(B257:U257)</f>
        <v>2.2545000000000002</v>
      </c>
      <c r="W257" s="53">
        <f t="shared" ref="W257:W258" si="163">V257/20</f>
        <v>0.11272500000000001</v>
      </c>
    </row>
    <row r="258" spans="1:23" s="3" customFormat="1" ht="12.75">
      <c r="A258" s="49" t="s">
        <v>664</v>
      </c>
      <c r="B258" s="30">
        <f>SUM(B256:B257)</f>
        <v>0.11272499999999999</v>
      </c>
      <c r="C258" s="30">
        <f t="shared" ref="C258" si="164">SUM(C256:C257)</f>
        <v>0.11272499999999999</v>
      </c>
      <c r="D258" s="30">
        <f t="shared" ref="D258" si="165">SUM(D256:D257)</f>
        <v>0.11272499999999999</v>
      </c>
      <c r="E258" s="30">
        <f t="shared" ref="E258" si="166">SUM(E256:E257)</f>
        <v>0.11272499999999999</v>
      </c>
      <c r="F258" s="30">
        <f t="shared" ref="F258" si="167">SUM(F256:F257)</f>
        <v>0.11272499999999999</v>
      </c>
      <c r="G258" s="30">
        <f t="shared" ref="G258" si="168">SUM(G256:G257)</f>
        <v>0.11272499999999999</v>
      </c>
      <c r="H258" s="30">
        <f t="shared" ref="H258" si="169">SUM(H256:H257)</f>
        <v>0.11272499999999999</v>
      </c>
      <c r="I258" s="30">
        <f t="shared" ref="I258" si="170">SUM(I256:I257)</f>
        <v>0.11272499999999999</v>
      </c>
      <c r="J258" s="30">
        <f t="shared" ref="J258" si="171">SUM(J256:J257)</f>
        <v>0.11272499999999999</v>
      </c>
      <c r="K258" s="30">
        <f t="shared" ref="K258" si="172">SUM(K256:K257)</f>
        <v>0.11272499999999999</v>
      </c>
      <c r="L258" s="30">
        <f t="shared" ref="L258" si="173">SUM(L256:L257)</f>
        <v>0.11272499999999999</v>
      </c>
      <c r="M258" s="30">
        <f t="shared" ref="M258" si="174">SUM(M256:M257)</f>
        <v>0.11272499999999999</v>
      </c>
      <c r="N258" s="30">
        <f t="shared" ref="N258" si="175">SUM(N256:N257)</f>
        <v>0.11272499999999999</v>
      </c>
      <c r="O258" s="30">
        <f t="shared" ref="O258" si="176">SUM(O256:O257)</f>
        <v>0.11272499999999999</v>
      </c>
      <c r="P258" s="30">
        <f t="shared" ref="P258" si="177">SUM(P256:P257)</f>
        <v>0.11272499999999999</v>
      </c>
      <c r="Q258" s="30">
        <f t="shared" ref="Q258" si="178">SUM(Q256:Q257)</f>
        <v>0.11272499999999999</v>
      </c>
      <c r="R258" s="30">
        <f t="shared" ref="R258" si="179">SUM(R256:R257)</f>
        <v>0.11272499999999999</v>
      </c>
      <c r="S258" s="30">
        <f t="shared" ref="S258" si="180">SUM(S256:S257)</f>
        <v>0.11272499999999999</v>
      </c>
      <c r="T258" s="30">
        <f t="shared" ref="T258" si="181">SUM(T256:T257)</f>
        <v>0.11272499999999999</v>
      </c>
      <c r="U258" s="30">
        <f t="shared" ref="U258" si="182">SUM(U256:U257)</f>
        <v>0.11272499999999999</v>
      </c>
      <c r="V258" s="180">
        <f t="shared" si="162"/>
        <v>2.2545000000000002</v>
      </c>
      <c r="W258" s="53">
        <f t="shared" si="163"/>
        <v>0.11272500000000001</v>
      </c>
    </row>
    <row r="259" spans="1:23" ht="13.5" customHeight="1">
      <c r="A259" s="134" t="s">
        <v>123</v>
      </c>
      <c r="B259" s="52">
        <v>0.96618357487922713</v>
      </c>
      <c r="C259" s="52">
        <v>0.93351070036640305</v>
      </c>
      <c r="D259" s="52">
        <v>0.90194270566802237</v>
      </c>
      <c r="E259" s="52">
        <v>0.87144222769857238</v>
      </c>
      <c r="F259" s="52">
        <v>0.84197316685852419</v>
      </c>
      <c r="G259" s="52">
        <v>0.81350064430775282</v>
      </c>
      <c r="H259" s="52">
        <v>0.78599096068381913</v>
      </c>
      <c r="I259" s="52">
        <v>0.75941155621625056</v>
      </c>
      <c r="J259" s="52">
        <v>0.73373097218961414</v>
      </c>
      <c r="K259" s="52">
        <v>0.70891881370977217</v>
      </c>
      <c r="L259" s="52">
        <v>0.68494571372924851</v>
      </c>
      <c r="M259" s="52">
        <v>0.66178329828912896</v>
      </c>
      <c r="N259" s="52">
        <v>0.63940415293635666</v>
      </c>
      <c r="O259" s="52">
        <v>0.61778179027667302</v>
      </c>
      <c r="P259" s="52">
        <v>0.59689061862480497</v>
      </c>
      <c r="Q259" s="52">
        <v>0.57670591171478747</v>
      </c>
      <c r="R259" s="52">
        <v>0.55720377943457733</v>
      </c>
      <c r="S259" s="52">
        <v>0.53836113955031628</v>
      </c>
      <c r="T259" s="52">
        <v>0.52015569038677911</v>
      </c>
      <c r="U259" s="52">
        <v>0.50256588443167061</v>
      </c>
      <c r="V259" s="180"/>
      <c r="W259" s="133"/>
    </row>
    <row r="260" spans="1:23" s="81" customFormat="1" ht="12.75">
      <c r="A260" s="50" t="s">
        <v>1069</v>
      </c>
      <c r="B260" s="34">
        <f t="shared" ref="B260:U260" si="183">B259*B258</f>
        <v>0.10891304347826088</v>
      </c>
      <c r="C260" s="34">
        <f t="shared" si="183"/>
        <v>0.10522999369880277</v>
      </c>
      <c r="D260" s="34">
        <f t="shared" si="183"/>
        <v>0.10167149149642782</v>
      </c>
      <c r="E260" s="34">
        <f t="shared" si="183"/>
        <v>9.8233325117321565E-2</v>
      </c>
      <c r="F260" s="34">
        <f t="shared" si="183"/>
        <v>9.4911425234127128E-2</v>
      </c>
      <c r="G260" s="34">
        <f t="shared" si="183"/>
        <v>9.1701860129591431E-2</v>
      </c>
      <c r="H260" s="34">
        <f t="shared" si="183"/>
        <v>8.86008310430835E-2</v>
      </c>
      <c r="I260" s="34">
        <f t="shared" si="183"/>
        <v>8.5604667674476845E-2</v>
      </c>
      <c r="J260" s="34">
        <f t="shared" si="183"/>
        <v>8.2709823840074248E-2</v>
      </c>
      <c r="K260" s="34">
        <f t="shared" si="183"/>
        <v>7.991287327543406E-2</v>
      </c>
      <c r="L260" s="34">
        <f t="shared" si="183"/>
        <v>7.7210505580129526E-2</v>
      </c>
      <c r="M260" s="34">
        <f t="shared" si="183"/>
        <v>7.4599522299642063E-2</v>
      </c>
      <c r="N260" s="34">
        <f t="shared" si="183"/>
        <v>7.2076833139750801E-2</v>
      </c>
      <c r="O260" s="34">
        <f t="shared" si="183"/>
        <v>6.9639452308937963E-2</v>
      </c>
      <c r="P260" s="34">
        <f t="shared" si="183"/>
        <v>6.7284494984481136E-2</v>
      </c>
      <c r="Q260" s="34">
        <f t="shared" si="183"/>
        <v>6.5009173898049416E-2</v>
      </c>
      <c r="R260" s="34">
        <f t="shared" si="183"/>
        <v>6.281079603676272E-2</v>
      </c>
      <c r="S260" s="34">
        <f t="shared" si="183"/>
        <v>6.0686759455809397E-2</v>
      </c>
      <c r="T260" s="34">
        <f t="shared" si="183"/>
        <v>5.8634550198849673E-2</v>
      </c>
      <c r="U260" s="34">
        <f t="shared" si="183"/>
        <v>5.6651739322560062E-2</v>
      </c>
      <c r="V260" s="182">
        <f>SUM(B260:U260)</f>
        <v>1.6020931622125727</v>
      </c>
      <c r="W260" s="35"/>
    </row>
    <row r="261" spans="1:23" s="81" customFormat="1" ht="12.75">
      <c r="A261" s="33"/>
      <c r="B261" s="34"/>
      <c r="C261" s="34"/>
      <c r="D261" s="34"/>
      <c r="E261" s="34"/>
      <c r="F261" s="34"/>
      <c r="G261" s="34"/>
      <c r="H261" s="34"/>
      <c r="I261" s="34"/>
      <c r="J261" s="34"/>
      <c r="K261" s="34"/>
      <c r="L261" s="34"/>
      <c r="M261" s="34"/>
      <c r="N261" s="34"/>
      <c r="O261" s="34"/>
      <c r="P261" s="34"/>
      <c r="Q261" s="34"/>
      <c r="R261" s="34"/>
      <c r="S261" s="34"/>
      <c r="T261" s="34"/>
      <c r="U261" s="34"/>
      <c r="V261" s="182"/>
      <c r="W261" s="35"/>
    </row>
    <row r="262" spans="1:23" ht="12.75">
      <c r="A262" s="139" t="s">
        <v>1081</v>
      </c>
      <c r="B262" s="81"/>
      <c r="C262" s="81"/>
      <c r="D262" s="81"/>
      <c r="E262" s="81"/>
      <c r="F262" s="81"/>
      <c r="G262" s="81"/>
      <c r="H262" s="81"/>
      <c r="I262" s="81"/>
      <c r="J262" s="81"/>
      <c r="K262" s="81"/>
      <c r="L262" s="81"/>
      <c r="M262" s="81"/>
      <c r="N262" s="81"/>
      <c r="O262" s="81"/>
      <c r="P262" s="81"/>
      <c r="Q262" s="81"/>
      <c r="R262" s="81"/>
      <c r="S262" s="81"/>
      <c r="T262" s="81"/>
      <c r="U262" s="81"/>
      <c r="V262" s="179"/>
      <c r="W262" s="140"/>
    </row>
    <row r="263" spans="1:23" ht="12.75">
      <c r="A263" s="200" t="s">
        <v>679</v>
      </c>
      <c r="B263" s="136">
        <f t="shared" ref="B263:U263" si="184">B42</f>
        <v>6.7499999999999999E-3</v>
      </c>
      <c r="C263" s="136">
        <f t="shared" si="184"/>
        <v>0</v>
      </c>
      <c r="D263" s="136">
        <f t="shared" si="184"/>
        <v>0</v>
      </c>
      <c r="E263" s="136">
        <f t="shared" si="184"/>
        <v>6.7499999999999999E-3</v>
      </c>
      <c r="F263" s="136">
        <f t="shared" si="184"/>
        <v>0</v>
      </c>
      <c r="G263" s="136">
        <f t="shared" si="184"/>
        <v>0</v>
      </c>
      <c r="H263" s="136">
        <f t="shared" si="184"/>
        <v>6.7499999999999999E-3</v>
      </c>
      <c r="I263" s="136">
        <f t="shared" si="184"/>
        <v>0</v>
      </c>
      <c r="J263" s="136">
        <f t="shared" si="184"/>
        <v>0</v>
      </c>
      <c r="K263" s="136">
        <f t="shared" si="184"/>
        <v>6.7499999999999999E-3</v>
      </c>
      <c r="L263" s="136">
        <f t="shared" si="184"/>
        <v>0</v>
      </c>
      <c r="M263" s="136">
        <f t="shared" si="184"/>
        <v>0</v>
      </c>
      <c r="N263" s="136">
        <f t="shared" si="184"/>
        <v>6.7499999999999999E-3</v>
      </c>
      <c r="O263" s="136">
        <f t="shared" si="184"/>
        <v>0</v>
      </c>
      <c r="P263" s="136">
        <f t="shared" si="184"/>
        <v>0</v>
      </c>
      <c r="Q263" s="136">
        <f t="shared" si="184"/>
        <v>6.7499999999999999E-3</v>
      </c>
      <c r="R263" s="136">
        <f t="shared" si="184"/>
        <v>0</v>
      </c>
      <c r="S263" s="136">
        <f t="shared" si="184"/>
        <v>0</v>
      </c>
      <c r="T263" s="136">
        <f t="shared" si="184"/>
        <v>6.7499999999999999E-3</v>
      </c>
      <c r="U263" s="136">
        <f t="shared" si="184"/>
        <v>0</v>
      </c>
      <c r="V263" s="180">
        <f>SUM(B263:U263)</f>
        <v>4.725E-2</v>
      </c>
      <c r="W263" s="53">
        <f>V263/20</f>
        <v>2.3625E-3</v>
      </c>
    </row>
    <row r="264" spans="1:23" ht="12.75">
      <c r="A264" s="200" t="s">
        <v>680</v>
      </c>
      <c r="B264" s="136">
        <f t="shared" ref="B264:U264" si="185">B71</f>
        <v>1.9574999999999999E-2</v>
      </c>
      <c r="C264" s="136">
        <f t="shared" si="185"/>
        <v>1.9574999999999999E-2</v>
      </c>
      <c r="D264" s="136">
        <f t="shared" si="185"/>
        <v>1.9574999999999999E-2</v>
      </c>
      <c r="E264" s="136">
        <f t="shared" si="185"/>
        <v>1.9574999999999999E-2</v>
      </c>
      <c r="F264" s="136">
        <f t="shared" si="185"/>
        <v>1.9574999999999999E-2</v>
      </c>
      <c r="G264" s="136">
        <f t="shared" si="185"/>
        <v>1.9574999999999999E-2</v>
      </c>
      <c r="H264" s="136">
        <f t="shared" si="185"/>
        <v>1.9574999999999999E-2</v>
      </c>
      <c r="I264" s="136">
        <f t="shared" si="185"/>
        <v>1.9574999999999999E-2</v>
      </c>
      <c r="J264" s="136">
        <f t="shared" si="185"/>
        <v>1.9574999999999999E-2</v>
      </c>
      <c r="K264" s="136">
        <f t="shared" si="185"/>
        <v>1.9574999999999999E-2</v>
      </c>
      <c r="L264" s="136">
        <f t="shared" si="185"/>
        <v>1.9574999999999999E-2</v>
      </c>
      <c r="M264" s="136">
        <f t="shared" si="185"/>
        <v>1.9574999999999999E-2</v>
      </c>
      <c r="N264" s="136">
        <f t="shared" si="185"/>
        <v>1.9574999999999999E-2</v>
      </c>
      <c r="O264" s="136">
        <f t="shared" si="185"/>
        <v>1.9574999999999999E-2</v>
      </c>
      <c r="P264" s="136">
        <f t="shared" si="185"/>
        <v>1.9574999999999999E-2</v>
      </c>
      <c r="Q264" s="136">
        <f t="shared" si="185"/>
        <v>1.9574999999999999E-2</v>
      </c>
      <c r="R264" s="136">
        <f t="shared" si="185"/>
        <v>1.9574999999999999E-2</v>
      </c>
      <c r="S264" s="136">
        <f t="shared" si="185"/>
        <v>1.9574999999999999E-2</v>
      </c>
      <c r="T264" s="136">
        <f t="shared" si="185"/>
        <v>1.9574999999999999E-2</v>
      </c>
      <c r="U264" s="136">
        <f t="shared" si="185"/>
        <v>1.9574999999999999E-2</v>
      </c>
      <c r="V264" s="180">
        <f t="shared" ref="V264:V265" si="186">SUM(B264:U264)</f>
        <v>0.39150000000000007</v>
      </c>
      <c r="W264" s="53">
        <f t="shared" ref="W264:W265" si="187">V264/20</f>
        <v>1.9575000000000002E-2</v>
      </c>
    </row>
    <row r="265" spans="1:23" s="3" customFormat="1" ht="12.75">
      <c r="A265" s="49" t="s">
        <v>664</v>
      </c>
      <c r="B265" s="30">
        <f>SUM(B263:B264)</f>
        <v>2.6324999999999998E-2</v>
      </c>
      <c r="C265" s="30">
        <f t="shared" ref="C265:U265" si="188">SUM(C263:C264)</f>
        <v>1.9574999999999999E-2</v>
      </c>
      <c r="D265" s="30">
        <f t="shared" si="188"/>
        <v>1.9574999999999999E-2</v>
      </c>
      <c r="E265" s="30">
        <f t="shared" si="188"/>
        <v>2.6324999999999998E-2</v>
      </c>
      <c r="F265" s="30">
        <f t="shared" si="188"/>
        <v>1.9574999999999999E-2</v>
      </c>
      <c r="G265" s="30">
        <f t="shared" si="188"/>
        <v>1.9574999999999999E-2</v>
      </c>
      <c r="H265" s="30">
        <f t="shared" si="188"/>
        <v>2.6324999999999998E-2</v>
      </c>
      <c r="I265" s="30">
        <f t="shared" si="188"/>
        <v>1.9574999999999999E-2</v>
      </c>
      <c r="J265" s="30">
        <f t="shared" si="188"/>
        <v>1.9574999999999999E-2</v>
      </c>
      <c r="K265" s="30">
        <f t="shared" si="188"/>
        <v>2.6324999999999998E-2</v>
      </c>
      <c r="L265" s="30">
        <f t="shared" si="188"/>
        <v>1.9574999999999999E-2</v>
      </c>
      <c r="M265" s="30">
        <f t="shared" si="188"/>
        <v>1.9574999999999999E-2</v>
      </c>
      <c r="N265" s="30">
        <f t="shared" si="188"/>
        <v>2.6324999999999998E-2</v>
      </c>
      <c r="O265" s="30">
        <f t="shared" si="188"/>
        <v>1.9574999999999999E-2</v>
      </c>
      <c r="P265" s="30">
        <f t="shared" si="188"/>
        <v>1.9574999999999999E-2</v>
      </c>
      <c r="Q265" s="30">
        <f t="shared" si="188"/>
        <v>2.6324999999999998E-2</v>
      </c>
      <c r="R265" s="30">
        <f t="shared" si="188"/>
        <v>1.9574999999999999E-2</v>
      </c>
      <c r="S265" s="30">
        <f t="shared" si="188"/>
        <v>1.9574999999999999E-2</v>
      </c>
      <c r="T265" s="30">
        <f t="shared" si="188"/>
        <v>2.6324999999999998E-2</v>
      </c>
      <c r="U265" s="30">
        <f t="shared" si="188"/>
        <v>1.9574999999999999E-2</v>
      </c>
      <c r="V265" s="180">
        <f t="shared" si="186"/>
        <v>0.43874999999999997</v>
      </c>
      <c r="W265" s="53">
        <f t="shared" si="187"/>
        <v>2.1937499999999999E-2</v>
      </c>
    </row>
    <row r="266" spans="1:23" ht="13.5" customHeight="1">
      <c r="A266" s="134" t="s">
        <v>123</v>
      </c>
      <c r="B266" s="52">
        <v>0.96618357487922713</v>
      </c>
      <c r="C266" s="52">
        <v>0.93351070036640305</v>
      </c>
      <c r="D266" s="52">
        <v>0.90194270566802237</v>
      </c>
      <c r="E266" s="52">
        <v>0.87144222769857238</v>
      </c>
      <c r="F266" s="52">
        <v>0.84197316685852419</v>
      </c>
      <c r="G266" s="52">
        <v>0.81350064430775282</v>
      </c>
      <c r="H266" s="52">
        <v>0.78599096068381913</v>
      </c>
      <c r="I266" s="52">
        <v>0.75941155621625056</v>
      </c>
      <c r="J266" s="52">
        <v>0.73373097218961414</v>
      </c>
      <c r="K266" s="52">
        <v>0.70891881370977217</v>
      </c>
      <c r="L266" s="52">
        <v>0.68494571372924851</v>
      </c>
      <c r="M266" s="52">
        <v>0.66178329828912896</v>
      </c>
      <c r="N266" s="52">
        <v>0.63940415293635666</v>
      </c>
      <c r="O266" s="52">
        <v>0.61778179027667302</v>
      </c>
      <c r="P266" s="52">
        <v>0.59689061862480497</v>
      </c>
      <c r="Q266" s="52">
        <v>0.57670591171478747</v>
      </c>
      <c r="R266" s="52">
        <v>0.55720377943457733</v>
      </c>
      <c r="S266" s="52">
        <v>0.53836113955031628</v>
      </c>
      <c r="T266" s="52">
        <v>0.52015569038677911</v>
      </c>
      <c r="U266" s="52">
        <v>0.50256588443167061</v>
      </c>
      <c r="V266" s="180"/>
      <c r="W266" s="133"/>
    </row>
    <row r="267" spans="1:23" s="81" customFormat="1" ht="12.75">
      <c r="A267" s="50" t="s">
        <v>1069</v>
      </c>
      <c r="B267" s="34">
        <f t="shared" ref="B267:U267" si="189">B266*B265</f>
        <v>2.5434782608695652E-2</v>
      </c>
      <c r="C267" s="34">
        <f t="shared" si="189"/>
        <v>1.8273471959672338E-2</v>
      </c>
      <c r="D267" s="34">
        <f t="shared" si="189"/>
        <v>1.7655528463451538E-2</v>
      </c>
      <c r="E267" s="34">
        <f t="shared" si="189"/>
        <v>2.2940716644164916E-2</v>
      </c>
      <c r="F267" s="34">
        <f t="shared" si="189"/>
        <v>1.6481624741255609E-2</v>
      </c>
      <c r="G267" s="34">
        <f t="shared" si="189"/>
        <v>1.5924275112324259E-2</v>
      </c>
      <c r="H267" s="34">
        <f t="shared" si="189"/>
        <v>2.0691212040001537E-2</v>
      </c>
      <c r="I267" s="34">
        <f t="shared" si="189"/>
        <v>1.4865481212933103E-2</v>
      </c>
      <c r="J267" s="34">
        <f t="shared" si="189"/>
        <v>1.4362783780611696E-2</v>
      </c>
      <c r="K267" s="34">
        <f t="shared" si="189"/>
        <v>1.8662287770909752E-2</v>
      </c>
      <c r="L267" s="34">
        <f t="shared" si="189"/>
        <v>1.3407812346250039E-2</v>
      </c>
      <c r="M267" s="34">
        <f t="shared" si="189"/>
        <v>1.2954408064009699E-2</v>
      </c>
      <c r="N267" s="34">
        <f t="shared" si="189"/>
        <v>1.6832314326049588E-2</v>
      </c>
      <c r="O267" s="34">
        <f t="shared" si="189"/>
        <v>1.2093078544665873E-2</v>
      </c>
      <c r="P267" s="34">
        <f t="shared" si="189"/>
        <v>1.1684133859580557E-2</v>
      </c>
      <c r="Q267" s="34">
        <f t="shared" si="189"/>
        <v>1.5181783125891779E-2</v>
      </c>
      <c r="R267" s="34">
        <f t="shared" si="189"/>
        <v>1.090726398243185E-2</v>
      </c>
      <c r="S267" s="34">
        <f t="shared" si="189"/>
        <v>1.053841930669744E-2</v>
      </c>
      <c r="T267" s="34">
        <f t="shared" si="189"/>
        <v>1.3693098549431959E-2</v>
      </c>
      <c r="U267" s="34">
        <f t="shared" si="189"/>
        <v>9.837727187749952E-3</v>
      </c>
      <c r="V267" s="182">
        <f>SUM(B267:U267)</f>
        <v>0.31242220362677919</v>
      </c>
      <c r="W267" s="35"/>
    </row>
    <row r="268" spans="1:23" s="81" customFormat="1" ht="12.75">
      <c r="A268" s="33"/>
      <c r="B268" s="34"/>
      <c r="C268" s="34"/>
      <c r="D268" s="34"/>
      <c r="E268" s="34"/>
      <c r="F268" s="34"/>
      <c r="G268" s="34"/>
      <c r="H268" s="34"/>
      <c r="I268" s="34"/>
      <c r="J268" s="34"/>
      <c r="K268" s="34"/>
      <c r="L268" s="34"/>
      <c r="M268" s="34"/>
      <c r="N268" s="34"/>
      <c r="O268" s="34"/>
      <c r="P268" s="34"/>
      <c r="Q268" s="34"/>
      <c r="R268" s="34"/>
      <c r="S268" s="34"/>
      <c r="T268" s="34"/>
      <c r="U268" s="34"/>
      <c r="V268" s="182"/>
      <c r="W268" s="35"/>
    </row>
    <row r="269" spans="1:23" ht="12.75">
      <c r="A269" s="139" t="s">
        <v>1080</v>
      </c>
      <c r="B269" s="81"/>
      <c r="C269" s="81"/>
      <c r="D269" s="81"/>
      <c r="E269" s="81"/>
      <c r="F269" s="81"/>
      <c r="G269" s="81"/>
      <c r="H269" s="81"/>
      <c r="I269" s="81"/>
      <c r="J269" s="81"/>
      <c r="K269" s="81"/>
      <c r="L269" s="81"/>
      <c r="M269" s="81"/>
      <c r="N269" s="81"/>
      <c r="O269" s="81"/>
      <c r="P269" s="81"/>
      <c r="Q269" s="81"/>
      <c r="R269" s="81"/>
      <c r="S269" s="81"/>
      <c r="T269" s="81"/>
      <c r="U269" s="81"/>
      <c r="V269" s="179"/>
      <c r="W269" s="140"/>
    </row>
    <row r="270" spans="1:23" ht="12.75">
      <c r="A270" s="200" t="s">
        <v>679</v>
      </c>
      <c r="B270" s="136">
        <f t="shared" ref="B270:U270" si="190">B44</f>
        <v>6.7499999999999999E-3</v>
      </c>
      <c r="C270" s="136">
        <f t="shared" si="190"/>
        <v>0</v>
      </c>
      <c r="D270" s="136">
        <f t="shared" si="190"/>
        <v>0</v>
      </c>
      <c r="E270" s="136">
        <f t="shared" si="190"/>
        <v>6.7499999999999999E-3</v>
      </c>
      <c r="F270" s="136">
        <f t="shared" si="190"/>
        <v>0</v>
      </c>
      <c r="G270" s="136">
        <f t="shared" si="190"/>
        <v>0</v>
      </c>
      <c r="H270" s="136">
        <f t="shared" si="190"/>
        <v>6.7499999999999999E-3</v>
      </c>
      <c r="I270" s="136">
        <f t="shared" si="190"/>
        <v>0</v>
      </c>
      <c r="J270" s="136">
        <f t="shared" si="190"/>
        <v>0</v>
      </c>
      <c r="K270" s="136">
        <f t="shared" si="190"/>
        <v>6.7499999999999999E-3</v>
      </c>
      <c r="L270" s="136">
        <f t="shared" si="190"/>
        <v>0</v>
      </c>
      <c r="M270" s="136">
        <f t="shared" si="190"/>
        <v>0</v>
      </c>
      <c r="N270" s="136">
        <f t="shared" si="190"/>
        <v>6.7499999999999999E-3</v>
      </c>
      <c r="O270" s="136">
        <f t="shared" si="190"/>
        <v>0</v>
      </c>
      <c r="P270" s="136">
        <f t="shared" si="190"/>
        <v>0</v>
      </c>
      <c r="Q270" s="136">
        <f t="shared" si="190"/>
        <v>6.7499999999999999E-3</v>
      </c>
      <c r="R270" s="136">
        <f t="shared" si="190"/>
        <v>0</v>
      </c>
      <c r="S270" s="136">
        <f t="shared" si="190"/>
        <v>0</v>
      </c>
      <c r="T270" s="136">
        <f t="shared" si="190"/>
        <v>6.7499999999999999E-3</v>
      </c>
      <c r="U270" s="136">
        <f t="shared" si="190"/>
        <v>0</v>
      </c>
      <c r="V270" s="180">
        <f>SUM(B270:U270)</f>
        <v>4.725E-2</v>
      </c>
      <c r="W270" s="53">
        <f>V270/20</f>
        <v>2.3625E-3</v>
      </c>
    </row>
    <row r="271" spans="1:23" ht="12.75">
      <c r="A271" s="200" t="s">
        <v>680</v>
      </c>
      <c r="B271" s="136">
        <v>0</v>
      </c>
      <c r="C271" s="136">
        <v>0</v>
      </c>
      <c r="D271" s="136">
        <v>0</v>
      </c>
      <c r="E271" s="136">
        <v>0</v>
      </c>
      <c r="F271" s="136">
        <v>0</v>
      </c>
      <c r="G271" s="136">
        <v>0</v>
      </c>
      <c r="H271" s="136">
        <v>0</v>
      </c>
      <c r="I271" s="136">
        <v>0</v>
      </c>
      <c r="J271" s="136">
        <v>0</v>
      </c>
      <c r="K271" s="136">
        <v>0</v>
      </c>
      <c r="L271" s="136">
        <v>0</v>
      </c>
      <c r="M271" s="136">
        <v>0</v>
      </c>
      <c r="N271" s="136">
        <v>0</v>
      </c>
      <c r="O271" s="136">
        <v>0</v>
      </c>
      <c r="P271" s="136">
        <v>0</v>
      </c>
      <c r="Q271" s="136">
        <v>0</v>
      </c>
      <c r="R271" s="136">
        <v>0</v>
      </c>
      <c r="S271" s="136">
        <v>0</v>
      </c>
      <c r="T271" s="136">
        <v>0</v>
      </c>
      <c r="U271" s="136">
        <v>0</v>
      </c>
      <c r="V271" s="180">
        <f t="shared" ref="V271:V272" si="191">SUM(B271:U271)</f>
        <v>0</v>
      </c>
      <c r="W271" s="53">
        <f t="shared" ref="W271:W272" si="192">V271/20</f>
        <v>0</v>
      </c>
    </row>
    <row r="272" spans="1:23" s="3" customFormat="1" ht="12.75">
      <c r="A272" s="49" t="s">
        <v>664</v>
      </c>
      <c r="B272" s="30">
        <f>SUM(B270:B271)</f>
        <v>6.7499999999999999E-3</v>
      </c>
      <c r="C272" s="30">
        <f t="shared" ref="C272:U272" si="193">SUM(C270:C271)</f>
        <v>0</v>
      </c>
      <c r="D272" s="30">
        <f t="shared" si="193"/>
        <v>0</v>
      </c>
      <c r="E272" s="30">
        <f t="shared" si="193"/>
        <v>6.7499999999999999E-3</v>
      </c>
      <c r="F272" s="30">
        <f t="shared" si="193"/>
        <v>0</v>
      </c>
      <c r="G272" s="30">
        <f t="shared" si="193"/>
        <v>0</v>
      </c>
      <c r="H272" s="30">
        <f t="shared" si="193"/>
        <v>6.7499999999999999E-3</v>
      </c>
      <c r="I272" s="30">
        <f t="shared" si="193"/>
        <v>0</v>
      </c>
      <c r="J272" s="30">
        <f t="shared" si="193"/>
        <v>0</v>
      </c>
      <c r="K272" s="30">
        <f t="shared" si="193"/>
        <v>6.7499999999999999E-3</v>
      </c>
      <c r="L272" s="30">
        <f t="shared" si="193"/>
        <v>0</v>
      </c>
      <c r="M272" s="30">
        <f t="shared" si="193"/>
        <v>0</v>
      </c>
      <c r="N272" s="30">
        <f t="shared" si="193"/>
        <v>6.7499999999999999E-3</v>
      </c>
      <c r="O272" s="30">
        <f t="shared" si="193"/>
        <v>0</v>
      </c>
      <c r="P272" s="30">
        <f t="shared" si="193"/>
        <v>0</v>
      </c>
      <c r="Q272" s="30">
        <f t="shared" si="193"/>
        <v>6.7499999999999999E-3</v>
      </c>
      <c r="R272" s="30">
        <f t="shared" si="193"/>
        <v>0</v>
      </c>
      <c r="S272" s="30">
        <f t="shared" si="193"/>
        <v>0</v>
      </c>
      <c r="T272" s="30">
        <f t="shared" si="193"/>
        <v>6.7499999999999999E-3</v>
      </c>
      <c r="U272" s="30">
        <f t="shared" si="193"/>
        <v>0</v>
      </c>
      <c r="V272" s="180">
        <f t="shared" si="191"/>
        <v>4.725E-2</v>
      </c>
      <c r="W272" s="53">
        <f t="shared" si="192"/>
        <v>2.3625E-3</v>
      </c>
    </row>
    <row r="273" spans="1:23" ht="13.5" customHeight="1">
      <c r="A273" s="134" t="s">
        <v>123</v>
      </c>
      <c r="B273" s="52">
        <v>0.96618357487922713</v>
      </c>
      <c r="C273" s="52">
        <v>0.93351070036640305</v>
      </c>
      <c r="D273" s="52">
        <v>0.90194270566802237</v>
      </c>
      <c r="E273" s="52">
        <v>0.87144222769857238</v>
      </c>
      <c r="F273" s="52">
        <v>0.84197316685852419</v>
      </c>
      <c r="G273" s="52">
        <v>0.81350064430775282</v>
      </c>
      <c r="H273" s="52">
        <v>0.78599096068381913</v>
      </c>
      <c r="I273" s="52">
        <v>0.75941155621625056</v>
      </c>
      <c r="J273" s="52">
        <v>0.73373097218961414</v>
      </c>
      <c r="K273" s="52">
        <v>0.70891881370977217</v>
      </c>
      <c r="L273" s="52">
        <v>0.68494571372924851</v>
      </c>
      <c r="M273" s="52">
        <v>0.66178329828912896</v>
      </c>
      <c r="N273" s="52">
        <v>0.63940415293635666</v>
      </c>
      <c r="O273" s="52">
        <v>0.61778179027667302</v>
      </c>
      <c r="P273" s="52">
        <v>0.59689061862480497</v>
      </c>
      <c r="Q273" s="52">
        <v>0.57670591171478747</v>
      </c>
      <c r="R273" s="52">
        <v>0.55720377943457733</v>
      </c>
      <c r="S273" s="52">
        <v>0.53836113955031628</v>
      </c>
      <c r="T273" s="52">
        <v>0.52015569038677911</v>
      </c>
      <c r="U273" s="52">
        <v>0.50256588443167061</v>
      </c>
      <c r="V273" s="180"/>
      <c r="W273" s="133"/>
    </row>
    <row r="274" spans="1:23" s="81" customFormat="1" ht="12.75">
      <c r="A274" s="50" t="s">
        <v>1069</v>
      </c>
      <c r="B274" s="34">
        <f t="shared" ref="B274:U274" si="194">B273*B272</f>
        <v>6.5217391304347831E-3</v>
      </c>
      <c r="C274" s="34">
        <f t="shared" si="194"/>
        <v>0</v>
      </c>
      <c r="D274" s="34">
        <f t="shared" si="194"/>
        <v>0</v>
      </c>
      <c r="E274" s="34">
        <f t="shared" si="194"/>
        <v>5.8822350369653635E-3</v>
      </c>
      <c r="F274" s="34">
        <f t="shared" si="194"/>
        <v>0</v>
      </c>
      <c r="G274" s="34">
        <f t="shared" si="194"/>
        <v>0</v>
      </c>
      <c r="H274" s="34">
        <f t="shared" si="194"/>
        <v>5.3054389846157787E-3</v>
      </c>
      <c r="I274" s="34">
        <f t="shared" si="194"/>
        <v>0</v>
      </c>
      <c r="J274" s="34">
        <f t="shared" si="194"/>
        <v>0</v>
      </c>
      <c r="K274" s="34">
        <f t="shared" si="194"/>
        <v>4.785201992540962E-3</v>
      </c>
      <c r="L274" s="34">
        <f t="shared" si="194"/>
        <v>0</v>
      </c>
      <c r="M274" s="34">
        <f t="shared" si="194"/>
        <v>0</v>
      </c>
      <c r="N274" s="34">
        <f t="shared" si="194"/>
        <v>4.3159780323204075E-3</v>
      </c>
      <c r="O274" s="34">
        <f t="shared" si="194"/>
        <v>0</v>
      </c>
      <c r="P274" s="34">
        <f t="shared" si="194"/>
        <v>0</v>
      </c>
      <c r="Q274" s="34">
        <f t="shared" si="194"/>
        <v>3.8927649040748154E-3</v>
      </c>
      <c r="R274" s="34">
        <f t="shared" si="194"/>
        <v>0</v>
      </c>
      <c r="S274" s="34">
        <f t="shared" si="194"/>
        <v>0</v>
      </c>
      <c r="T274" s="34">
        <f t="shared" si="194"/>
        <v>3.5110509101107588E-3</v>
      </c>
      <c r="U274" s="34">
        <f t="shared" si="194"/>
        <v>0</v>
      </c>
      <c r="V274" s="182">
        <f>SUM(B274:U274)</f>
        <v>3.4214408991062872E-2</v>
      </c>
      <c r="W274" s="35"/>
    </row>
    <row r="275" spans="1:23" s="81" customFormat="1" ht="12.75">
      <c r="A275" s="33"/>
      <c r="B275" s="34"/>
      <c r="C275" s="34"/>
      <c r="D275" s="34"/>
      <c r="E275" s="34"/>
      <c r="F275" s="34"/>
      <c r="G275" s="34"/>
      <c r="H275" s="34"/>
      <c r="I275" s="34"/>
      <c r="J275" s="34"/>
      <c r="K275" s="34"/>
      <c r="L275" s="34"/>
      <c r="M275" s="34"/>
      <c r="N275" s="34"/>
      <c r="O275" s="34"/>
      <c r="P275" s="34"/>
      <c r="Q275" s="34"/>
      <c r="R275" s="34"/>
      <c r="S275" s="34"/>
      <c r="T275" s="34"/>
      <c r="U275" s="34"/>
      <c r="V275" s="182"/>
      <c r="W275" s="35"/>
    </row>
    <row r="276" spans="1:23" ht="12.75">
      <c r="A276" s="139" t="s">
        <v>1079</v>
      </c>
      <c r="B276" s="81"/>
      <c r="C276" s="81"/>
      <c r="D276" s="81"/>
      <c r="E276" s="81"/>
      <c r="F276" s="81"/>
      <c r="G276" s="81"/>
      <c r="H276" s="81"/>
      <c r="I276" s="81"/>
      <c r="J276" s="81"/>
      <c r="K276" s="81"/>
      <c r="L276" s="81"/>
      <c r="M276" s="81"/>
      <c r="N276" s="81"/>
      <c r="O276" s="81"/>
      <c r="P276" s="81"/>
      <c r="Q276" s="81"/>
      <c r="R276" s="81"/>
      <c r="S276" s="81"/>
      <c r="T276" s="81"/>
      <c r="U276" s="81"/>
      <c r="V276" s="179"/>
      <c r="W276" s="140"/>
    </row>
    <row r="277" spans="1:23" ht="12.75">
      <c r="A277" s="200" t="s">
        <v>679</v>
      </c>
      <c r="B277" s="136">
        <f t="shared" ref="B277:U277" si="195">B43</f>
        <v>6.7499999999999999E-3</v>
      </c>
      <c r="C277" s="136">
        <f t="shared" si="195"/>
        <v>0</v>
      </c>
      <c r="D277" s="136">
        <f t="shared" si="195"/>
        <v>0</v>
      </c>
      <c r="E277" s="136">
        <f t="shared" si="195"/>
        <v>6.7499999999999999E-3</v>
      </c>
      <c r="F277" s="136">
        <f t="shared" si="195"/>
        <v>0</v>
      </c>
      <c r="G277" s="136">
        <f t="shared" si="195"/>
        <v>0</v>
      </c>
      <c r="H277" s="136">
        <f t="shared" si="195"/>
        <v>6.7499999999999999E-3</v>
      </c>
      <c r="I277" s="136">
        <f t="shared" si="195"/>
        <v>0</v>
      </c>
      <c r="J277" s="136">
        <f t="shared" si="195"/>
        <v>0</v>
      </c>
      <c r="K277" s="136">
        <f t="shared" si="195"/>
        <v>6.7499999999999999E-3</v>
      </c>
      <c r="L277" s="136">
        <f t="shared" si="195"/>
        <v>0</v>
      </c>
      <c r="M277" s="136">
        <f t="shared" si="195"/>
        <v>0</v>
      </c>
      <c r="N277" s="136">
        <f t="shared" si="195"/>
        <v>6.7499999999999999E-3</v>
      </c>
      <c r="O277" s="136">
        <f t="shared" si="195"/>
        <v>0</v>
      </c>
      <c r="P277" s="136">
        <f t="shared" si="195"/>
        <v>0</v>
      </c>
      <c r="Q277" s="136">
        <f t="shared" si="195"/>
        <v>6.7499999999999999E-3</v>
      </c>
      <c r="R277" s="136">
        <f t="shared" si="195"/>
        <v>0</v>
      </c>
      <c r="S277" s="136">
        <f t="shared" si="195"/>
        <v>0</v>
      </c>
      <c r="T277" s="136">
        <f t="shared" si="195"/>
        <v>6.7499999999999999E-3</v>
      </c>
      <c r="U277" s="136">
        <f t="shared" si="195"/>
        <v>0</v>
      </c>
      <c r="V277" s="180">
        <f>SUM(B277:U277)</f>
        <v>4.725E-2</v>
      </c>
      <c r="W277" s="53">
        <f>V277/20</f>
        <v>2.3625E-3</v>
      </c>
    </row>
    <row r="278" spans="1:23" ht="12.75">
      <c r="A278" s="200" t="s">
        <v>680</v>
      </c>
      <c r="B278" s="136">
        <v>0</v>
      </c>
      <c r="C278" s="136">
        <v>0</v>
      </c>
      <c r="D278" s="136">
        <v>0</v>
      </c>
      <c r="E278" s="136">
        <v>0</v>
      </c>
      <c r="F278" s="136">
        <v>0</v>
      </c>
      <c r="G278" s="136">
        <v>0</v>
      </c>
      <c r="H278" s="136">
        <v>0</v>
      </c>
      <c r="I278" s="136">
        <v>0</v>
      </c>
      <c r="J278" s="136">
        <v>0</v>
      </c>
      <c r="K278" s="136">
        <v>0</v>
      </c>
      <c r="L278" s="136">
        <v>0</v>
      </c>
      <c r="M278" s="136">
        <v>0</v>
      </c>
      <c r="N278" s="136">
        <v>0</v>
      </c>
      <c r="O278" s="136">
        <v>0</v>
      </c>
      <c r="P278" s="136">
        <v>0</v>
      </c>
      <c r="Q278" s="136">
        <v>0</v>
      </c>
      <c r="R278" s="136">
        <v>0</v>
      </c>
      <c r="S278" s="136">
        <v>0</v>
      </c>
      <c r="T278" s="136">
        <v>0</v>
      </c>
      <c r="U278" s="136">
        <v>0</v>
      </c>
      <c r="V278" s="180">
        <f t="shared" ref="V278:V279" si="196">SUM(B278:U278)</f>
        <v>0</v>
      </c>
      <c r="W278" s="53">
        <f t="shared" ref="W278:W279" si="197">V278/20</f>
        <v>0</v>
      </c>
    </row>
    <row r="279" spans="1:23" s="3" customFormat="1" ht="12.75">
      <c r="A279" s="49" t="s">
        <v>664</v>
      </c>
      <c r="B279" s="30">
        <f>SUM(B277:B278)</f>
        <v>6.7499999999999999E-3</v>
      </c>
      <c r="C279" s="30">
        <f t="shared" ref="C279:U279" si="198">SUM(C277:C278)</f>
        <v>0</v>
      </c>
      <c r="D279" s="30">
        <f t="shared" si="198"/>
        <v>0</v>
      </c>
      <c r="E279" s="30">
        <f t="shared" si="198"/>
        <v>6.7499999999999999E-3</v>
      </c>
      <c r="F279" s="30">
        <f t="shared" si="198"/>
        <v>0</v>
      </c>
      <c r="G279" s="30">
        <f t="shared" si="198"/>
        <v>0</v>
      </c>
      <c r="H279" s="30">
        <f t="shared" si="198"/>
        <v>6.7499999999999999E-3</v>
      </c>
      <c r="I279" s="30">
        <f t="shared" si="198"/>
        <v>0</v>
      </c>
      <c r="J279" s="30">
        <f t="shared" si="198"/>
        <v>0</v>
      </c>
      <c r="K279" s="30">
        <f t="shared" si="198"/>
        <v>6.7499999999999999E-3</v>
      </c>
      <c r="L279" s="30">
        <f t="shared" si="198"/>
        <v>0</v>
      </c>
      <c r="M279" s="30">
        <f t="shared" si="198"/>
        <v>0</v>
      </c>
      <c r="N279" s="30">
        <f t="shared" si="198"/>
        <v>6.7499999999999999E-3</v>
      </c>
      <c r="O279" s="30">
        <f t="shared" si="198"/>
        <v>0</v>
      </c>
      <c r="P279" s="30">
        <f t="shared" si="198"/>
        <v>0</v>
      </c>
      <c r="Q279" s="30">
        <f t="shared" si="198"/>
        <v>6.7499999999999999E-3</v>
      </c>
      <c r="R279" s="30">
        <f t="shared" si="198"/>
        <v>0</v>
      </c>
      <c r="S279" s="30">
        <f t="shared" si="198"/>
        <v>0</v>
      </c>
      <c r="T279" s="30">
        <f t="shared" si="198"/>
        <v>6.7499999999999999E-3</v>
      </c>
      <c r="U279" s="30">
        <f t="shared" si="198"/>
        <v>0</v>
      </c>
      <c r="V279" s="180">
        <f t="shared" si="196"/>
        <v>4.725E-2</v>
      </c>
      <c r="W279" s="53">
        <f t="shared" si="197"/>
        <v>2.3625E-3</v>
      </c>
    </row>
    <row r="280" spans="1:23" ht="13.5" customHeight="1">
      <c r="A280" s="134" t="s">
        <v>123</v>
      </c>
      <c r="B280" s="52">
        <v>0.96618357487922713</v>
      </c>
      <c r="C280" s="52">
        <v>0.93351070036640305</v>
      </c>
      <c r="D280" s="52">
        <v>0.90194270566802237</v>
      </c>
      <c r="E280" s="52">
        <v>0.87144222769857238</v>
      </c>
      <c r="F280" s="52">
        <v>0.84197316685852419</v>
      </c>
      <c r="G280" s="52">
        <v>0.81350064430775282</v>
      </c>
      <c r="H280" s="52">
        <v>0.78599096068381913</v>
      </c>
      <c r="I280" s="52">
        <v>0.75941155621625056</v>
      </c>
      <c r="J280" s="52">
        <v>0.73373097218961414</v>
      </c>
      <c r="K280" s="52">
        <v>0.70891881370977217</v>
      </c>
      <c r="L280" s="52">
        <v>0.68494571372924851</v>
      </c>
      <c r="M280" s="52">
        <v>0.66178329828912896</v>
      </c>
      <c r="N280" s="52">
        <v>0.63940415293635666</v>
      </c>
      <c r="O280" s="52">
        <v>0.61778179027667302</v>
      </c>
      <c r="P280" s="52">
        <v>0.59689061862480497</v>
      </c>
      <c r="Q280" s="52">
        <v>0.57670591171478747</v>
      </c>
      <c r="R280" s="52">
        <v>0.55720377943457733</v>
      </c>
      <c r="S280" s="52">
        <v>0.53836113955031628</v>
      </c>
      <c r="T280" s="52">
        <v>0.52015569038677911</v>
      </c>
      <c r="U280" s="52">
        <v>0.50256588443167061</v>
      </c>
      <c r="V280" s="180"/>
      <c r="W280" s="133"/>
    </row>
    <row r="281" spans="1:23" s="81" customFormat="1" ht="12.75">
      <c r="A281" s="50" t="s">
        <v>1069</v>
      </c>
      <c r="B281" s="34">
        <f t="shared" ref="B281:U281" si="199">B280*B279</f>
        <v>6.5217391304347831E-3</v>
      </c>
      <c r="C281" s="34">
        <f t="shared" si="199"/>
        <v>0</v>
      </c>
      <c r="D281" s="34">
        <f t="shared" si="199"/>
        <v>0</v>
      </c>
      <c r="E281" s="34">
        <f t="shared" si="199"/>
        <v>5.8822350369653635E-3</v>
      </c>
      <c r="F281" s="34">
        <f t="shared" si="199"/>
        <v>0</v>
      </c>
      <c r="G281" s="34">
        <f t="shared" si="199"/>
        <v>0</v>
      </c>
      <c r="H281" s="34">
        <f t="shared" si="199"/>
        <v>5.3054389846157787E-3</v>
      </c>
      <c r="I281" s="34">
        <f t="shared" si="199"/>
        <v>0</v>
      </c>
      <c r="J281" s="34">
        <f t="shared" si="199"/>
        <v>0</v>
      </c>
      <c r="K281" s="34">
        <f t="shared" si="199"/>
        <v>4.785201992540962E-3</v>
      </c>
      <c r="L281" s="34">
        <f t="shared" si="199"/>
        <v>0</v>
      </c>
      <c r="M281" s="34">
        <f t="shared" si="199"/>
        <v>0</v>
      </c>
      <c r="N281" s="34">
        <f t="shared" si="199"/>
        <v>4.3159780323204075E-3</v>
      </c>
      <c r="O281" s="34">
        <f t="shared" si="199"/>
        <v>0</v>
      </c>
      <c r="P281" s="34">
        <f t="shared" si="199"/>
        <v>0</v>
      </c>
      <c r="Q281" s="34">
        <f t="shared" si="199"/>
        <v>3.8927649040748154E-3</v>
      </c>
      <c r="R281" s="34">
        <f t="shared" si="199"/>
        <v>0</v>
      </c>
      <c r="S281" s="34">
        <f t="shared" si="199"/>
        <v>0</v>
      </c>
      <c r="T281" s="34">
        <f t="shared" si="199"/>
        <v>3.5110509101107588E-3</v>
      </c>
      <c r="U281" s="34">
        <f t="shared" si="199"/>
        <v>0</v>
      </c>
      <c r="V281" s="182">
        <f>SUM(B281:U281)</f>
        <v>3.4214408991062872E-2</v>
      </c>
      <c r="W281" s="35"/>
    </row>
    <row r="282" spans="1:23" s="81" customFormat="1" ht="12.75">
      <c r="A282" s="33"/>
      <c r="B282" s="34"/>
      <c r="C282" s="34"/>
      <c r="D282" s="34"/>
      <c r="E282" s="34"/>
      <c r="F282" s="34"/>
      <c r="G282" s="34"/>
      <c r="H282" s="34"/>
      <c r="I282" s="34"/>
      <c r="J282" s="34"/>
      <c r="K282" s="34"/>
      <c r="L282" s="34"/>
      <c r="M282" s="34"/>
      <c r="N282" s="34"/>
      <c r="O282" s="34"/>
      <c r="P282" s="34"/>
      <c r="Q282" s="34"/>
      <c r="R282" s="34"/>
      <c r="S282" s="34"/>
      <c r="T282" s="34"/>
      <c r="U282" s="34"/>
      <c r="V282" s="182"/>
      <c r="W282" s="35"/>
    </row>
    <row r="283" spans="1:23" ht="12.75">
      <c r="A283" s="139" t="s">
        <v>1078</v>
      </c>
      <c r="B283" s="81"/>
      <c r="C283" s="81"/>
      <c r="D283" s="81"/>
      <c r="E283" s="81"/>
      <c r="F283" s="81"/>
      <c r="G283" s="81"/>
      <c r="H283" s="81"/>
      <c r="I283" s="81"/>
      <c r="J283" s="81"/>
      <c r="K283" s="81"/>
      <c r="L283" s="81"/>
      <c r="M283" s="81"/>
      <c r="N283" s="81"/>
      <c r="O283" s="81"/>
      <c r="P283" s="81"/>
      <c r="Q283" s="81"/>
      <c r="R283" s="81"/>
      <c r="S283" s="81"/>
      <c r="T283" s="81"/>
      <c r="U283" s="81"/>
      <c r="V283" s="179"/>
      <c r="W283" s="140"/>
    </row>
    <row r="284" spans="1:23" ht="12.75">
      <c r="A284" s="200" t="s">
        <v>679</v>
      </c>
      <c r="B284" s="136">
        <f t="shared" ref="B284:U284" si="200">B45</f>
        <v>6.7499999999999999E-3</v>
      </c>
      <c r="C284" s="136">
        <f t="shared" si="200"/>
        <v>0</v>
      </c>
      <c r="D284" s="136">
        <f t="shared" si="200"/>
        <v>0</v>
      </c>
      <c r="E284" s="136">
        <f t="shared" si="200"/>
        <v>6.7499999999999999E-3</v>
      </c>
      <c r="F284" s="136">
        <f t="shared" si="200"/>
        <v>0</v>
      </c>
      <c r="G284" s="136">
        <f t="shared" si="200"/>
        <v>0</v>
      </c>
      <c r="H284" s="136">
        <f t="shared" si="200"/>
        <v>6.7499999999999999E-3</v>
      </c>
      <c r="I284" s="136">
        <f t="shared" si="200"/>
        <v>0</v>
      </c>
      <c r="J284" s="136">
        <f t="shared" si="200"/>
        <v>0</v>
      </c>
      <c r="K284" s="136">
        <f t="shared" si="200"/>
        <v>6.7499999999999999E-3</v>
      </c>
      <c r="L284" s="136">
        <f t="shared" si="200"/>
        <v>0</v>
      </c>
      <c r="M284" s="136">
        <f t="shared" si="200"/>
        <v>0</v>
      </c>
      <c r="N284" s="136">
        <f t="shared" si="200"/>
        <v>6.7499999999999999E-3</v>
      </c>
      <c r="O284" s="136">
        <f t="shared" si="200"/>
        <v>0</v>
      </c>
      <c r="P284" s="136">
        <f t="shared" si="200"/>
        <v>0</v>
      </c>
      <c r="Q284" s="136">
        <f t="shared" si="200"/>
        <v>6.7499999999999999E-3</v>
      </c>
      <c r="R284" s="136">
        <f t="shared" si="200"/>
        <v>0</v>
      </c>
      <c r="S284" s="136">
        <f t="shared" si="200"/>
        <v>0</v>
      </c>
      <c r="T284" s="136">
        <f t="shared" si="200"/>
        <v>6.7499999999999999E-3</v>
      </c>
      <c r="U284" s="136">
        <f t="shared" si="200"/>
        <v>0</v>
      </c>
      <c r="V284" s="180">
        <f>SUM(B284:U284)</f>
        <v>4.725E-2</v>
      </c>
      <c r="W284" s="53">
        <f>V284/20</f>
        <v>2.3625E-3</v>
      </c>
    </row>
    <row r="285" spans="1:23" ht="12.75">
      <c r="A285" s="200" t="s">
        <v>680</v>
      </c>
      <c r="B285" s="136">
        <f t="shared" ref="B285:U285" si="201">B64</f>
        <v>3.375E-3</v>
      </c>
      <c r="C285" s="136">
        <f t="shared" si="201"/>
        <v>3.375E-3</v>
      </c>
      <c r="D285" s="136">
        <f t="shared" si="201"/>
        <v>3.375E-3</v>
      </c>
      <c r="E285" s="136">
        <f t="shared" si="201"/>
        <v>3.375E-3</v>
      </c>
      <c r="F285" s="136">
        <f t="shared" si="201"/>
        <v>3.375E-3</v>
      </c>
      <c r="G285" s="136">
        <f t="shared" si="201"/>
        <v>3.375E-3</v>
      </c>
      <c r="H285" s="136">
        <f t="shared" si="201"/>
        <v>3.375E-3</v>
      </c>
      <c r="I285" s="136">
        <f t="shared" si="201"/>
        <v>3.375E-3</v>
      </c>
      <c r="J285" s="136">
        <f t="shared" si="201"/>
        <v>3.375E-3</v>
      </c>
      <c r="K285" s="136">
        <f t="shared" si="201"/>
        <v>3.375E-3</v>
      </c>
      <c r="L285" s="136">
        <f t="shared" si="201"/>
        <v>3.375E-3</v>
      </c>
      <c r="M285" s="136">
        <f t="shared" si="201"/>
        <v>3.375E-3</v>
      </c>
      <c r="N285" s="136">
        <f t="shared" si="201"/>
        <v>3.375E-3</v>
      </c>
      <c r="O285" s="136">
        <f t="shared" si="201"/>
        <v>3.375E-3</v>
      </c>
      <c r="P285" s="136">
        <f t="shared" si="201"/>
        <v>3.375E-3</v>
      </c>
      <c r="Q285" s="136">
        <f t="shared" si="201"/>
        <v>3.375E-3</v>
      </c>
      <c r="R285" s="136">
        <f t="shared" si="201"/>
        <v>3.375E-3</v>
      </c>
      <c r="S285" s="136">
        <f t="shared" si="201"/>
        <v>3.375E-3</v>
      </c>
      <c r="T285" s="136">
        <f t="shared" si="201"/>
        <v>3.375E-3</v>
      </c>
      <c r="U285" s="136">
        <f t="shared" si="201"/>
        <v>3.375E-3</v>
      </c>
      <c r="V285" s="180">
        <f t="shared" ref="V285:V286" si="202">SUM(B285:U285)</f>
        <v>6.7500000000000032E-2</v>
      </c>
      <c r="W285" s="53">
        <f t="shared" ref="W285:W286" si="203">V285/20</f>
        <v>3.3750000000000017E-3</v>
      </c>
    </row>
    <row r="286" spans="1:23" s="3" customFormat="1" ht="12.75">
      <c r="A286" s="49" t="s">
        <v>664</v>
      </c>
      <c r="B286" s="30">
        <f>SUM(B284:B285)</f>
        <v>1.0125E-2</v>
      </c>
      <c r="C286" s="30">
        <f t="shared" ref="C286:U286" si="204">SUM(C284:C285)</f>
        <v>3.375E-3</v>
      </c>
      <c r="D286" s="30">
        <f t="shared" si="204"/>
        <v>3.375E-3</v>
      </c>
      <c r="E286" s="30">
        <f t="shared" si="204"/>
        <v>1.0125E-2</v>
      </c>
      <c r="F286" s="30">
        <f t="shared" si="204"/>
        <v>3.375E-3</v>
      </c>
      <c r="G286" s="30">
        <f t="shared" si="204"/>
        <v>3.375E-3</v>
      </c>
      <c r="H286" s="30">
        <f t="shared" si="204"/>
        <v>1.0125E-2</v>
      </c>
      <c r="I286" s="30">
        <f t="shared" si="204"/>
        <v>3.375E-3</v>
      </c>
      <c r="J286" s="30">
        <f t="shared" si="204"/>
        <v>3.375E-3</v>
      </c>
      <c r="K286" s="30">
        <f t="shared" si="204"/>
        <v>1.0125E-2</v>
      </c>
      <c r="L286" s="30">
        <f t="shared" si="204"/>
        <v>3.375E-3</v>
      </c>
      <c r="M286" s="30">
        <f t="shared" si="204"/>
        <v>3.375E-3</v>
      </c>
      <c r="N286" s="30">
        <f t="shared" si="204"/>
        <v>1.0125E-2</v>
      </c>
      <c r="O286" s="30">
        <f t="shared" si="204"/>
        <v>3.375E-3</v>
      </c>
      <c r="P286" s="30">
        <f t="shared" si="204"/>
        <v>3.375E-3</v>
      </c>
      <c r="Q286" s="30">
        <f t="shared" si="204"/>
        <v>1.0125E-2</v>
      </c>
      <c r="R286" s="30">
        <f t="shared" si="204"/>
        <v>3.375E-3</v>
      </c>
      <c r="S286" s="30">
        <f t="shared" si="204"/>
        <v>3.375E-3</v>
      </c>
      <c r="T286" s="30">
        <f t="shared" si="204"/>
        <v>1.0125E-2</v>
      </c>
      <c r="U286" s="30">
        <f t="shared" si="204"/>
        <v>3.375E-3</v>
      </c>
      <c r="V286" s="180">
        <f t="shared" si="202"/>
        <v>0.11475000000000002</v>
      </c>
      <c r="W286" s="53">
        <f t="shared" si="203"/>
        <v>5.7375000000000013E-3</v>
      </c>
    </row>
    <row r="287" spans="1:23" ht="13.5" customHeight="1">
      <c r="A287" s="134" t="s">
        <v>123</v>
      </c>
      <c r="B287" s="52">
        <v>0.96618357487922713</v>
      </c>
      <c r="C287" s="52">
        <v>0.93351070036640305</v>
      </c>
      <c r="D287" s="52">
        <v>0.90194270566802237</v>
      </c>
      <c r="E287" s="52">
        <v>0.87144222769857238</v>
      </c>
      <c r="F287" s="52">
        <v>0.84197316685852419</v>
      </c>
      <c r="G287" s="52">
        <v>0.81350064430775282</v>
      </c>
      <c r="H287" s="52">
        <v>0.78599096068381913</v>
      </c>
      <c r="I287" s="52">
        <v>0.75941155621625056</v>
      </c>
      <c r="J287" s="52">
        <v>0.73373097218961414</v>
      </c>
      <c r="K287" s="52">
        <v>0.70891881370977217</v>
      </c>
      <c r="L287" s="52">
        <v>0.68494571372924851</v>
      </c>
      <c r="M287" s="52">
        <v>0.66178329828912896</v>
      </c>
      <c r="N287" s="52">
        <v>0.63940415293635666</v>
      </c>
      <c r="O287" s="52">
        <v>0.61778179027667302</v>
      </c>
      <c r="P287" s="52">
        <v>0.59689061862480497</v>
      </c>
      <c r="Q287" s="52">
        <v>0.57670591171478747</v>
      </c>
      <c r="R287" s="52">
        <v>0.55720377943457733</v>
      </c>
      <c r="S287" s="52">
        <v>0.53836113955031628</v>
      </c>
      <c r="T287" s="52">
        <v>0.52015569038677911</v>
      </c>
      <c r="U287" s="52">
        <v>0.50256588443167061</v>
      </c>
      <c r="V287" s="180"/>
      <c r="W287" s="133"/>
    </row>
    <row r="288" spans="1:23" s="81" customFormat="1" ht="12.75">
      <c r="A288" s="50" t="s">
        <v>1069</v>
      </c>
      <c r="B288" s="34">
        <f t="shared" ref="B288:U288" si="205">B287*B286</f>
        <v>9.7826086956521747E-3</v>
      </c>
      <c r="C288" s="34">
        <f t="shared" si="205"/>
        <v>3.1505986137366103E-3</v>
      </c>
      <c r="D288" s="34">
        <f t="shared" si="205"/>
        <v>3.0440566316295753E-3</v>
      </c>
      <c r="E288" s="34">
        <f t="shared" si="205"/>
        <v>8.8233525554480448E-3</v>
      </c>
      <c r="F288" s="34">
        <f t="shared" si="205"/>
        <v>2.841659438147519E-3</v>
      </c>
      <c r="G288" s="34">
        <f t="shared" si="205"/>
        <v>2.7455646745386656E-3</v>
      </c>
      <c r="H288" s="34">
        <f t="shared" si="205"/>
        <v>7.9581584769236689E-3</v>
      </c>
      <c r="I288" s="34">
        <f t="shared" si="205"/>
        <v>2.5630140022298458E-3</v>
      </c>
      <c r="J288" s="34">
        <f t="shared" si="205"/>
        <v>2.4763420311399477E-3</v>
      </c>
      <c r="K288" s="34">
        <f t="shared" si="205"/>
        <v>7.1778029888114438E-3</v>
      </c>
      <c r="L288" s="34">
        <f t="shared" si="205"/>
        <v>2.3116917838362137E-3</v>
      </c>
      <c r="M288" s="34">
        <f t="shared" si="205"/>
        <v>2.2335186317258104E-3</v>
      </c>
      <c r="N288" s="34">
        <f t="shared" si="205"/>
        <v>6.4739670484806116E-3</v>
      </c>
      <c r="O288" s="34">
        <f t="shared" si="205"/>
        <v>2.0850135421837715E-3</v>
      </c>
      <c r="P288" s="34">
        <f t="shared" si="205"/>
        <v>2.0145058378587166E-3</v>
      </c>
      <c r="Q288" s="34">
        <f t="shared" si="205"/>
        <v>5.8391473561122233E-3</v>
      </c>
      <c r="R288" s="34">
        <f t="shared" si="205"/>
        <v>1.8805627555916985E-3</v>
      </c>
      <c r="S288" s="34">
        <f t="shared" si="205"/>
        <v>1.8169688459823174E-3</v>
      </c>
      <c r="T288" s="34">
        <f t="shared" si="205"/>
        <v>5.2665763651661389E-3</v>
      </c>
      <c r="U288" s="34">
        <f t="shared" si="205"/>
        <v>1.6961598599568883E-3</v>
      </c>
      <c r="V288" s="182">
        <f>SUM(B288:U288)</f>
        <v>8.218127013515189E-2</v>
      </c>
      <c r="W288" s="35"/>
    </row>
    <row r="289" spans="1:25" s="81" customFormat="1" ht="12.75">
      <c r="A289" s="33"/>
      <c r="B289" s="34"/>
      <c r="C289" s="34"/>
      <c r="D289" s="34"/>
      <c r="E289" s="34"/>
      <c r="F289" s="34"/>
      <c r="G289" s="34"/>
      <c r="H289" s="34"/>
      <c r="I289" s="34"/>
      <c r="J289" s="34"/>
      <c r="K289" s="34"/>
      <c r="L289" s="34"/>
      <c r="M289" s="34"/>
      <c r="N289" s="34"/>
      <c r="O289" s="34"/>
      <c r="P289" s="34"/>
      <c r="Q289" s="34"/>
      <c r="R289" s="34"/>
      <c r="S289" s="34"/>
      <c r="T289" s="34"/>
      <c r="U289" s="34"/>
      <c r="V289" s="182"/>
      <c r="W289" s="35"/>
    </row>
    <row r="290" spans="1:25" ht="12.75">
      <c r="A290" s="139" t="s">
        <v>995</v>
      </c>
      <c r="B290" s="81"/>
      <c r="C290" s="81"/>
      <c r="D290" s="81"/>
      <c r="E290" s="81"/>
      <c r="F290" s="81"/>
      <c r="G290" s="81"/>
      <c r="H290" s="81"/>
      <c r="I290" s="81"/>
      <c r="J290" s="81"/>
      <c r="K290" s="81"/>
      <c r="L290" s="81"/>
      <c r="M290" s="81"/>
      <c r="N290" s="81"/>
      <c r="O290" s="81"/>
      <c r="P290" s="81"/>
      <c r="Q290" s="81"/>
      <c r="R290" s="81"/>
      <c r="S290" s="81"/>
      <c r="T290" s="81"/>
      <c r="U290" s="81"/>
      <c r="V290" s="179"/>
      <c r="W290" s="140"/>
      <c r="Y290" s="86"/>
    </row>
    <row r="291" spans="1:25" ht="12.75">
      <c r="A291" s="200" t="s">
        <v>679</v>
      </c>
      <c r="B291" s="136">
        <f t="shared" ref="B291:U291" si="206">B46</f>
        <v>6.7499999999999999E-3</v>
      </c>
      <c r="C291" s="136">
        <f t="shared" si="206"/>
        <v>0</v>
      </c>
      <c r="D291" s="136">
        <f t="shared" si="206"/>
        <v>0</v>
      </c>
      <c r="E291" s="136">
        <f t="shared" si="206"/>
        <v>6.7499999999999999E-3</v>
      </c>
      <c r="F291" s="136">
        <f t="shared" si="206"/>
        <v>0</v>
      </c>
      <c r="G291" s="136">
        <f t="shared" si="206"/>
        <v>0</v>
      </c>
      <c r="H291" s="136">
        <f t="shared" si="206"/>
        <v>6.7499999999999999E-3</v>
      </c>
      <c r="I291" s="136">
        <f t="shared" si="206"/>
        <v>0</v>
      </c>
      <c r="J291" s="136">
        <f t="shared" si="206"/>
        <v>0</v>
      </c>
      <c r="K291" s="136">
        <f t="shared" si="206"/>
        <v>6.7499999999999999E-3</v>
      </c>
      <c r="L291" s="136">
        <f t="shared" si="206"/>
        <v>0</v>
      </c>
      <c r="M291" s="136">
        <f t="shared" si="206"/>
        <v>0</v>
      </c>
      <c r="N291" s="136">
        <f t="shared" si="206"/>
        <v>6.7499999999999999E-3</v>
      </c>
      <c r="O291" s="136">
        <f t="shared" si="206"/>
        <v>0</v>
      </c>
      <c r="P291" s="136">
        <f t="shared" si="206"/>
        <v>0</v>
      </c>
      <c r="Q291" s="136">
        <f t="shared" si="206"/>
        <v>6.7499999999999999E-3</v>
      </c>
      <c r="R291" s="136">
        <f t="shared" si="206"/>
        <v>0</v>
      </c>
      <c r="S291" s="136">
        <f t="shared" si="206"/>
        <v>0</v>
      </c>
      <c r="T291" s="136">
        <f t="shared" si="206"/>
        <v>6.7499999999999999E-3</v>
      </c>
      <c r="U291" s="136">
        <f t="shared" si="206"/>
        <v>0</v>
      </c>
      <c r="V291" s="180">
        <f>SUM(B291:U291)</f>
        <v>4.725E-2</v>
      </c>
      <c r="W291" s="53">
        <f>V291/20</f>
        <v>2.3625E-3</v>
      </c>
      <c r="Y291" s="175"/>
    </row>
    <row r="292" spans="1:25" ht="12.75">
      <c r="A292" s="200" t="s">
        <v>680</v>
      </c>
      <c r="B292" s="136">
        <v>0</v>
      </c>
      <c r="C292" s="136">
        <v>0</v>
      </c>
      <c r="D292" s="136">
        <v>0</v>
      </c>
      <c r="E292" s="136">
        <v>0</v>
      </c>
      <c r="F292" s="136">
        <v>0</v>
      </c>
      <c r="G292" s="136">
        <v>0</v>
      </c>
      <c r="H292" s="136">
        <v>0</v>
      </c>
      <c r="I292" s="136">
        <v>0</v>
      </c>
      <c r="J292" s="136">
        <v>0</v>
      </c>
      <c r="K292" s="136">
        <v>0</v>
      </c>
      <c r="L292" s="136">
        <v>0</v>
      </c>
      <c r="M292" s="136">
        <v>0</v>
      </c>
      <c r="N292" s="136">
        <v>0</v>
      </c>
      <c r="O292" s="136">
        <v>0</v>
      </c>
      <c r="P292" s="136">
        <v>0</v>
      </c>
      <c r="Q292" s="136">
        <v>0</v>
      </c>
      <c r="R292" s="136">
        <v>0</v>
      </c>
      <c r="S292" s="136">
        <v>0</v>
      </c>
      <c r="T292" s="136">
        <v>0</v>
      </c>
      <c r="U292" s="136">
        <v>0</v>
      </c>
      <c r="V292" s="180">
        <f t="shared" ref="V292:V293" si="207">SUM(B292:U292)</f>
        <v>0</v>
      </c>
      <c r="W292" s="53">
        <f t="shared" ref="W292:W293" si="208">V292/20</f>
        <v>0</v>
      </c>
      <c r="Y292" s="175"/>
    </row>
    <row r="293" spans="1:25" s="3" customFormat="1" ht="12.75">
      <c r="A293" s="49" t="s">
        <v>664</v>
      </c>
      <c r="B293" s="30">
        <f>SUM(B291:B292)</f>
        <v>6.7499999999999999E-3</v>
      </c>
      <c r="C293" s="30">
        <f t="shared" ref="C293:U293" si="209">SUM(C291:C292)</f>
        <v>0</v>
      </c>
      <c r="D293" s="30">
        <f t="shared" si="209"/>
        <v>0</v>
      </c>
      <c r="E293" s="30">
        <f t="shared" si="209"/>
        <v>6.7499999999999999E-3</v>
      </c>
      <c r="F293" s="30">
        <f t="shared" si="209"/>
        <v>0</v>
      </c>
      <c r="G293" s="30">
        <f t="shared" si="209"/>
        <v>0</v>
      </c>
      <c r="H293" s="30">
        <f t="shared" si="209"/>
        <v>6.7499999999999999E-3</v>
      </c>
      <c r="I293" s="30">
        <f t="shared" si="209"/>
        <v>0</v>
      </c>
      <c r="J293" s="30">
        <f t="shared" si="209"/>
        <v>0</v>
      </c>
      <c r="K293" s="30">
        <f t="shared" si="209"/>
        <v>6.7499999999999999E-3</v>
      </c>
      <c r="L293" s="30">
        <f t="shared" si="209"/>
        <v>0</v>
      </c>
      <c r="M293" s="30">
        <f t="shared" si="209"/>
        <v>0</v>
      </c>
      <c r="N293" s="30">
        <f t="shared" si="209"/>
        <v>6.7499999999999999E-3</v>
      </c>
      <c r="O293" s="30">
        <f t="shared" si="209"/>
        <v>0</v>
      </c>
      <c r="P293" s="30">
        <f t="shared" si="209"/>
        <v>0</v>
      </c>
      <c r="Q293" s="30">
        <f t="shared" si="209"/>
        <v>6.7499999999999999E-3</v>
      </c>
      <c r="R293" s="30">
        <f t="shared" si="209"/>
        <v>0</v>
      </c>
      <c r="S293" s="30">
        <f t="shared" si="209"/>
        <v>0</v>
      </c>
      <c r="T293" s="30">
        <f t="shared" si="209"/>
        <v>6.7499999999999999E-3</v>
      </c>
      <c r="U293" s="30">
        <f t="shared" si="209"/>
        <v>0</v>
      </c>
      <c r="V293" s="180">
        <f t="shared" si="207"/>
        <v>4.725E-2</v>
      </c>
      <c r="W293" s="53">
        <f t="shared" si="208"/>
        <v>2.3625E-3</v>
      </c>
      <c r="Y293" s="175"/>
    </row>
    <row r="294" spans="1:25" ht="13.5" customHeight="1">
      <c r="A294" s="134" t="s">
        <v>123</v>
      </c>
      <c r="B294" s="52">
        <v>0.96618357487922713</v>
      </c>
      <c r="C294" s="52">
        <v>0.93351070036640305</v>
      </c>
      <c r="D294" s="52">
        <v>0.90194270566802237</v>
      </c>
      <c r="E294" s="52">
        <v>0.87144222769857238</v>
      </c>
      <c r="F294" s="52">
        <v>0.84197316685852419</v>
      </c>
      <c r="G294" s="52">
        <v>0.81350064430775282</v>
      </c>
      <c r="H294" s="52">
        <v>0.78599096068381913</v>
      </c>
      <c r="I294" s="52">
        <v>0.75941155621625056</v>
      </c>
      <c r="J294" s="52">
        <v>0.73373097218961414</v>
      </c>
      <c r="K294" s="52">
        <v>0.70891881370977217</v>
      </c>
      <c r="L294" s="52">
        <v>0.68494571372924851</v>
      </c>
      <c r="M294" s="52">
        <v>0.66178329828912896</v>
      </c>
      <c r="N294" s="52">
        <v>0.63940415293635666</v>
      </c>
      <c r="O294" s="52">
        <v>0.61778179027667302</v>
      </c>
      <c r="P294" s="52">
        <v>0.59689061862480497</v>
      </c>
      <c r="Q294" s="52">
        <v>0.57670591171478747</v>
      </c>
      <c r="R294" s="52">
        <v>0.55720377943457733</v>
      </c>
      <c r="S294" s="52">
        <v>0.53836113955031628</v>
      </c>
      <c r="T294" s="52">
        <v>0.52015569038677911</v>
      </c>
      <c r="U294" s="52">
        <v>0.50256588443167061</v>
      </c>
      <c r="V294" s="180"/>
      <c r="W294" s="133"/>
    </row>
    <row r="295" spans="1:25" s="81" customFormat="1" ht="12.75">
      <c r="A295" s="50" t="s">
        <v>1069</v>
      </c>
      <c r="B295" s="34">
        <f t="shared" ref="B295:U295" si="210">B294*B293</f>
        <v>6.5217391304347831E-3</v>
      </c>
      <c r="C295" s="34">
        <f t="shared" si="210"/>
        <v>0</v>
      </c>
      <c r="D295" s="34">
        <f t="shared" si="210"/>
        <v>0</v>
      </c>
      <c r="E295" s="34">
        <f t="shared" si="210"/>
        <v>5.8822350369653635E-3</v>
      </c>
      <c r="F295" s="34">
        <f t="shared" si="210"/>
        <v>0</v>
      </c>
      <c r="G295" s="34">
        <f t="shared" si="210"/>
        <v>0</v>
      </c>
      <c r="H295" s="34">
        <f t="shared" si="210"/>
        <v>5.3054389846157787E-3</v>
      </c>
      <c r="I295" s="34">
        <f t="shared" si="210"/>
        <v>0</v>
      </c>
      <c r="J295" s="34">
        <f t="shared" si="210"/>
        <v>0</v>
      </c>
      <c r="K295" s="34">
        <f t="shared" si="210"/>
        <v>4.785201992540962E-3</v>
      </c>
      <c r="L295" s="34">
        <f t="shared" si="210"/>
        <v>0</v>
      </c>
      <c r="M295" s="34">
        <f t="shared" si="210"/>
        <v>0</v>
      </c>
      <c r="N295" s="34">
        <f t="shared" si="210"/>
        <v>4.3159780323204075E-3</v>
      </c>
      <c r="O295" s="34">
        <f t="shared" si="210"/>
        <v>0</v>
      </c>
      <c r="P295" s="34">
        <f t="shared" si="210"/>
        <v>0</v>
      </c>
      <c r="Q295" s="34">
        <f t="shared" si="210"/>
        <v>3.8927649040748154E-3</v>
      </c>
      <c r="R295" s="34">
        <f t="shared" si="210"/>
        <v>0</v>
      </c>
      <c r="S295" s="34">
        <f t="shared" si="210"/>
        <v>0</v>
      </c>
      <c r="T295" s="34">
        <f t="shared" si="210"/>
        <v>3.5110509101107588E-3</v>
      </c>
      <c r="U295" s="34">
        <f t="shared" si="210"/>
        <v>0</v>
      </c>
      <c r="V295" s="182">
        <f>SUM(B295:U295)</f>
        <v>3.4214408991062872E-2</v>
      </c>
      <c r="W295" s="35"/>
      <c r="Y295" s="86"/>
    </row>
    <row r="296" spans="1:25" s="81" customFormat="1" ht="12.75">
      <c r="A296" s="33"/>
      <c r="B296" s="34"/>
      <c r="C296" s="34"/>
      <c r="D296" s="34"/>
      <c r="E296" s="34"/>
      <c r="F296" s="34"/>
      <c r="G296" s="34"/>
      <c r="H296" s="34"/>
      <c r="I296" s="34"/>
      <c r="J296" s="34"/>
      <c r="K296" s="34"/>
      <c r="L296" s="34"/>
      <c r="M296" s="34"/>
      <c r="N296" s="34"/>
      <c r="O296" s="34"/>
      <c r="P296" s="34"/>
      <c r="Q296" s="34"/>
      <c r="R296" s="34"/>
      <c r="S296" s="34"/>
      <c r="T296" s="34"/>
      <c r="U296" s="34"/>
      <c r="V296" s="182"/>
      <c r="W296" s="35"/>
      <c r="Y296" s="175"/>
    </row>
    <row r="297" spans="1:25" ht="12.75">
      <c r="A297" s="139" t="s">
        <v>1077</v>
      </c>
      <c r="B297" s="81"/>
      <c r="C297" s="81"/>
      <c r="D297" s="81"/>
      <c r="E297" s="81"/>
      <c r="F297" s="81"/>
      <c r="G297" s="81"/>
      <c r="H297" s="81"/>
      <c r="I297" s="81"/>
      <c r="J297" s="81"/>
      <c r="K297" s="81"/>
      <c r="L297" s="81"/>
      <c r="M297" s="81"/>
      <c r="N297" s="81"/>
      <c r="O297" s="81"/>
      <c r="P297" s="81"/>
      <c r="Q297" s="81"/>
      <c r="R297" s="81"/>
      <c r="S297" s="81"/>
      <c r="T297" s="81"/>
      <c r="U297" s="81"/>
      <c r="V297" s="179"/>
      <c r="W297" s="140"/>
      <c r="Y297" s="175"/>
    </row>
    <row r="298" spans="1:25" ht="12.75">
      <c r="A298" s="200" t="s">
        <v>679</v>
      </c>
      <c r="B298" s="136">
        <f t="shared" ref="B298:U298" si="211">B47</f>
        <v>6.7499999999999999E-3</v>
      </c>
      <c r="C298" s="136">
        <f t="shared" si="211"/>
        <v>0</v>
      </c>
      <c r="D298" s="136">
        <f t="shared" si="211"/>
        <v>0</v>
      </c>
      <c r="E298" s="136">
        <f t="shared" si="211"/>
        <v>6.7499999999999999E-3</v>
      </c>
      <c r="F298" s="136">
        <f t="shared" si="211"/>
        <v>0</v>
      </c>
      <c r="G298" s="136">
        <f t="shared" si="211"/>
        <v>0</v>
      </c>
      <c r="H298" s="136">
        <f t="shared" si="211"/>
        <v>6.7499999999999999E-3</v>
      </c>
      <c r="I298" s="136">
        <f t="shared" si="211"/>
        <v>0</v>
      </c>
      <c r="J298" s="136">
        <f t="shared" si="211"/>
        <v>0</v>
      </c>
      <c r="K298" s="136">
        <f t="shared" si="211"/>
        <v>6.7499999999999999E-3</v>
      </c>
      <c r="L298" s="136">
        <f t="shared" si="211"/>
        <v>0</v>
      </c>
      <c r="M298" s="136">
        <f t="shared" si="211"/>
        <v>0</v>
      </c>
      <c r="N298" s="136">
        <f t="shared" si="211"/>
        <v>6.7499999999999999E-3</v>
      </c>
      <c r="O298" s="136">
        <f t="shared" si="211"/>
        <v>0</v>
      </c>
      <c r="P298" s="136">
        <f t="shared" si="211"/>
        <v>0</v>
      </c>
      <c r="Q298" s="136">
        <f t="shared" si="211"/>
        <v>6.7499999999999999E-3</v>
      </c>
      <c r="R298" s="136">
        <f t="shared" si="211"/>
        <v>0</v>
      </c>
      <c r="S298" s="136">
        <f t="shared" si="211"/>
        <v>0</v>
      </c>
      <c r="T298" s="136">
        <f t="shared" si="211"/>
        <v>6.7499999999999999E-3</v>
      </c>
      <c r="U298" s="136">
        <f t="shared" si="211"/>
        <v>0</v>
      </c>
      <c r="V298" s="180">
        <f>SUM(B298:U298)</f>
        <v>4.725E-2</v>
      </c>
      <c r="W298" s="53">
        <f>V298/20</f>
        <v>2.3625E-3</v>
      </c>
    </row>
    <row r="299" spans="1:25" ht="12.75">
      <c r="A299" s="200" t="s">
        <v>680</v>
      </c>
      <c r="B299" s="136">
        <v>0</v>
      </c>
      <c r="C299" s="136">
        <v>0</v>
      </c>
      <c r="D299" s="136">
        <v>0</v>
      </c>
      <c r="E299" s="136">
        <v>0</v>
      </c>
      <c r="F299" s="136">
        <v>0</v>
      </c>
      <c r="G299" s="136">
        <v>0</v>
      </c>
      <c r="H299" s="136">
        <v>0</v>
      </c>
      <c r="I299" s="136">
        <v>0</v>
      </c>
      <c r="J299" s="136">
        <v>0</v>
      </c>
      <c r="K299" s="136">
        <v>0</v>
      </c>
      <c r="L299" s="136">
        <v>0</v>
      </c>
      <c r="M299" s="136">
        <v>0</v>
      </c>
      <c r="N299" s="136">
        <v>0</v>
      </c>
      <c r="O299" s="136">
        <v>0</v>
      </c>
      <c r="P299" s="136">
        <v>0</v>
      </c>
      <c r="Q299" s="136">
        <v>0</v>
      </c>
      <c r="R299" s="136">
        <v>0</v>
      </c>
      <c r="S299" s="136">
        <v>0</v>
      </c>
      <c r="T299" s="136">
        <v>0</v>
      </c>
      <c r="U299" s="136">
        <v>0</v>
      </c>
      <c r="V299" s="180">
        <f t="shared" ref="V299:V300" si="212">SUM(B299:U299)</f>
        <v>0</v>
      </c>
      <c r="W299" s="53">
        <f t="shared" ref="W299:W300" si="213">V299/20</f>
        <v>0</v>
      </c>
    </row>
    <row r="300" spans="1:25" s="3" customFormat="1" ht="12.75">
      <c r="A300" s="49" t="s">
        <v>664</v>
      </c>
      <c r="B300" s="30">
        <f>SUM(B298:B299)</f>
        <v>6.7499999999999999E-3</v>
      </c>
      <c r="C300" s="30">
        <f t="shared" ref="C300:U300" si="214">SUM(C298:C299)</f>
        <v>0</v>
      </c>
      <c r="D300" s="30">
        <f t="shared" si="214"/>
        <v>0</v>
      </c>
      <c r="E300" s="30">
        <f t="shared" si="214"/>
        <v>6.7499999999999999E-3</v>
      </c>
      <c r="F300" s="30">
        <f t="shared" si="214"/>
        <v>0</v>
      </c>
      <c r="G300" s="30">
        <f t="shared" si="214"/>
        <v>0</v>
      </c>
      <c r="H300" s="30">
        <f t="shared" si="214"/>
        <v>6.7499999999999999E-3</v>
      </c>
      <c r="I300" s="30">
        <f t="shared" si="214"/>
        <v>0</v>
      </c>
      <c r="J300" s="30">
        <f t="shared" si="214"/>
        <v>0</v>
      </c>
      <c r="K300" s="30">
        <f t="shared" si="214"/>
        <v>6.7499999999999999E-3</v>
      </c>
      <c r="L300" s="30">
        <f t="shared" si="214"/>
        <v>0</v>
      </c>
      <c r="M300" s="30">
        <f t="shared" si="214"/>
        <v>0</v>
      </c>
      <c r="N300" s="30">
        <f t="shared" si="214"/>
        <v>6.7499999999999999E-3</v>
      </c>
      <c r="O300" s="30">
        <f t="shared" si="214"/>
        <v>0</v>
      </c>
      <c r="P300" s="30">
        <f t="shared" si="214"/>
        <v>0</v>
      </c>
      <c r="Q300" s="30">
        <f t="shared" si="214"/>
        <v>6.7499999999999999E-3</v>
      </c>
      <c r="R300" s="30">
        <f t="shared" si="214"/>
        <v>0</v>
      </c>
      <c r="S300" s="30">
        <f t="shared" si="214"/>
        <v>0</v>
      </c>
      <c r="T300" s="30">
        <f t="shared" si="214"/>
        <v>6.7499999999999999E-3</v>
      </c>
      <c r="U300" s="30">
        <f t="shared" si="214"/>
        <v>0</v>
      </c>
      <c r="V300" s="180">
        <f t="shared" si="212"/>
        <v>4.725E-2</v>
      </c>
      <c r="W300" s="53">
        <f t="shared" si="213"/>
        <v>2.3625E-3</v>
      </c>
    </row>
    <row r="301" spans="1:25" ht="13.5" customHeight="1">
      <c r="A301" s="134" t="s">
        <v>123</v>
      </c>
      <c r="B301" s="52">
        <v>0.96618357487922713</v>
      </c>
      <c r="C301" s="52">
        <v>0.93351070036640305</v>
      </c>
      <c r="D301" s="52">
        <v>0.90194270566802237</v>
      </c>
      <c r="E301" s="52">
        <v>0.87144222769857238</v>
      </c>
      <c r="F301" s="52">
        <v>0.84197316685852419</v>
      </c>
      <c r="G301" s="52">
        <v>0.81350064430775282</v>
      </c>
      <c r="H301" s="52">
        <v>0.78599096068381913</v>
      </c>
      <c r="I301" s="52">
        <v>0.75941155621625056</v>
      </c>
      <c r="J301" s="52">
        <v>0.73373097218961414</v>
      </c>
      <c r="K301" s="52">
        <v>0.70891881370977217</v>
      </c>
      <c r="L301" s="52">
        <v>0.68494571372924851</v>
      </c>
      <c r="M301" s="52">
        <v>0.66178329828912896</v>
      </c>
      <c r="N301" s="52">
        <v>0.63940415293635666</v>
      </c>
      <c r="O301" s="52">
        <v>0.61778179027667302</v>
      </c>
      <c r="P301" s="52">
        <v>0.59689061862480497</v>
      </c>
      <c r="Q301" s="52">
        <v>0.57670591171478747</v>
      </c>
      <c r="R301" s="52">
        <v>0.55720377943457733</v>
      </c>
      <c r="S301" s="52">
        <v>0.53836113955031628</v>
      </c>
      <c r="T301" s="52">
        <v>0.52015569038677911</v>
      </c>
      <c r="U301" s="52">
        <v>0.50256588443167061</v>
      </c>
      <c r="V301" s="180"/>
      <c r="W301" s="133"/>
    </row>
    <row r="302" spans="1:25" s="81" customFormat="1" ht="12.75">
      <c r="A302" s="50" t="s">
        <v>1069</v>
      </c>
      <c r="B302" s="34">
        <f t="shared" ref="B302:U302" si="215">B301*B300</f>
        <v>6.5217391304347831E-3</v>
      </c>
      <c r="C302" s="34">
        <f t="shared" si="215"/>
        <v>0</v>
      </c>
      <c r="D302" s="34">
        <f t="shared" si="215"/>
        <v>0</v>
      </c>
      <c r="E302" s="34">
        <f t="shared" si="215"/>
        <v>5.8822350369653635E-3</v>
      </c>
      <c r="F302" s="34">
        <f t="shared" si="215"/>
        <v>0</v>
      </c>
      <c r="G302" s="34">
        <f t="shared" si="215"/>
        <v>0</v>
      </c>
      <c r="H302" s="34">
        <f t="shared" si="215"/>
        <v>5.3054389846157787E-3</v>
      </c>
      <c r="I302" s="34">
        <f t="shared" si="215"/>
        <v>0</v>
      </c>
      <c r="J302" s="34">
        <f t="shared" si="215"/>
        <v>0</v>
      </c>
      <c r="K302" s="34">
        <f t="shared" si="215"/>
        <v>4.785201992540962E-3</v>
      </c>
      <c r="L302" s="34">
        <f t="shared" si="215"/>
        <v>0</v>
      </c>
      <c r="M302" s="34">
        <f t="shared" si="215"/>
        <v>0</v>
      </c>
      <c r="N302" s="34">
        <f t="shared" si="215"/>
        <v>4.3159780323204075E-3</v>
      </c>
      <c r="O302" s="34">
        <f t="shared" si="215"/>
        <v>0</v>
      </c>
      <c r="P302" s="34">
        <f t="shared" si="215"/>
        <v>0</v>
      </c>
      <c r="Q302" s="34">
        <f t="shared" si="215"/>
        <v>3.8927649040748154E-3</v>
      </c>
      <c r="R302" s="34">
        <f t="shared" si="215"/>
        <v>0</v>
      </c>
      <c r="S302" s="34">
        <f t="shared" si="215"/>
        <v>0</v>
      </c>
      <c r="T302" s="34">
        <f t="shared" si="215"/>
        <v>3.5110509101107588E-3</v>
      </c>
      <c r="U302" s="34">
        <f t="shared" si="215"/>
        <v>0</v>
      </c>
      <c r="V302" s="182">
        <f>SUM(B302:U302)</f>
        <v>3.4214408991062872E-2</v>
      </c>
      <c r="W302" s="35"/>
    </row>
    <row r="303" spans="1:25" s="81" customFormat="1" ht="12.75">
      <c r="A303" s="33"/>
      <c r="B303" s="34"/>
      <c r="C303" s="34"/>
      <c r="D303" s="34"/>
      <c r="E303" s="34"/>
      <c r="F303" s="34"/>
      <c r="G303" s="34"/>
      <c r="H303" s="34"/>
      <c r="I303" s="34"/>
      <c r="J303" s="34"/>
      <c r="K303" s="34"/>
      <c r="L303" s="34"/>
      <c r="M303" s="34"/>
      <c r="N303" s="34"/>
      <c r="O303" s="34"/>
      <c r="P303" s="34"/>
      <c r="Q303" s="34"/>
      <c r="R303" s="34"/>
      <c r="S303" s="34"/>
      <c r="T303" s="34"/>
      <c r="U303" s="34"/>
      <c r="V303" s="182"/>
      <c r="W303" s="35"/>
    </row>
    <row r="304" spans="1:25" ht="12.75">
      <c r="A304" s="139" t="s">
        <v>1076</v>
      </c>
      <c r="B304" s="81"/>
      <c r="C304" s="81"/>
      <c r="D304" s="81"/>
      <c r="E304" s="81"/>
      <c r="F304" s="81"/>
      <c r="G304" s="81"/>
      <c r="H304" s="81"/>
      <c r="I304" s="81"/>
      <c r="J304" s="81"/>
      <c r="K304" s="81"/>
      <c r="L304" s="81"/>
      <c r="M304" s="81"/>
      <c r="N304" s="81"/>
      <c r="O304" s="81"/>
      <c r="P304" s="81"/>
      <c r="Q304" s="81"/>
      <c r="R304" s="81"/>
      <c r="S304" s="81"/>
      <c r="T304" s="81"/>
      <c r="U304" s="81"/>
      <c r="V304" s="179"/>
      <c r="W304" s="140"/>
    </row>
    <row r="305" spans="1:23" ht="12.75">
      <c r="A305" s="200" t="s">
        <v>679</v>
      </c>
      <c r="B305" s="136">
        <f t="shared" ref="B305:U305" si="216">B48</f>
        <v>6.7499999999999999E-3</v>
      </c>
      <c r="C305" s="136">
        <f t="shared" si="216"/>
        <v>0</v>
      </c>
      <c r="D305" s="136">
        <f t="shared" si="216"/>
        <v>0</v>
      </c>
      <c r="E305" s="136">
        <f t="shared" si="216"/>
        <v>6.7499999999999999E-3</v>
      </c>
      <c r="F305" s="136">
        <f t="shared" si="216"/>
        <v>0</v>
      </c>
      <c r="G305" s="136">
        <f t="shared" si="216"/>
        <v>0</v>
      </c>
      <c r="H305" s="136">
        <f t="shared" si="216"/>
        <v>6.7499999999999999E-3</v>
      </c>
      <c r="I305" s="136">
        <f t="shared" si="216"/>
        <v>0</v>
      </c>
      <c r="J305" s="136">
        <f t="shared" si="216"/>
        <v>0</v>
      </c>
      <c r="K305" s="136">
        <f t="shared" si="216"/>
        <v>6.7499999999999999E-3</v>
      </c>
      <c r="L305" s="136">
        <f t="shared" si="216"/>
        <v>0</v>
      </c>
      <c r="M305" s="136">
        <f t="shared" si="216"/>
        <v>0</v>
      </c>
      <c r="N305" s="136">
        <f t="shared" si="216"/>
        <v>6.7499999999999999E-3</v>
      </c>
      <c r="O305" s="136">
        <f t="shared" si="216"/>
        <v>0</v>
      </c>
      <c r="P305" s="136">
        <f t="shared" si="216"/>
        <v>0</v>
      </c>
      <c r="Q305" s="136">
        <f t="shared" si="216"/>
        <v>6.7499999999999999E-3</v>
      </c>
      <c r="R305" s="136">
        <f t="shared" si="216"/>
        <v>0</v>
      </c>
      <c r="S305" s="136">
        <f t="shared" si="216"/>
        <v>0</v>
      </c>
      <c r="T305" s="136">
        <f t="shared" si="216"/>
        <v>6.7499999999999999E-3</v>
      </c>
      <c r="U305" s="136">
        <f t="shared" si="216"/>
        <v>0</v>
      </c>
      <c r="V305" s="180">
        <f>SUM(B305:U305)</f>
        <v>4.725E-2</v>
      </c>
      <c r="W305" s="53">
        <f>V305/20</f>
        <v>2.3625E-3</v>
      </c>
    </row>
    <row r="306" spans="1:23" ht="12.75">
      <c r="A306" s="200" t="s">
        <v>680</v>
      </c>
      <c r="B306" s="136">
        <f t="shared" ref="B306:U306" si="217">B66</f>
        <v>0</v>
      </c>
      <c r="C306" s="136">
        <f t="shared" si="217"/>
        <v>0</v>
      </c>
      <c r="D306" s="136">
        <f t="shared" si="217"/>
        <v>0</v>
      </c>
      <c r="E306" s="136">
        <f t="shared" si="217"/>
        <v>0</v>
      </c>
      <c r="F306" s="136">
        <f t="shared" si="217"/>
        <v>0</v>
      </c>
      <c r="G306" s="136">
        <f t="shared" si="217"/>
        <v>0</v>
      </c>
      <c r="H306" s="136">
        <f t="shared" si="217"/>
        <v>0</v>
      </c>
      <c r="I306" s="136">
        <f t="shared" si="217"/>
        <v>0</v>
      </c>
      <c r="J306" s="136">
        <f t="shared" si="217"/>
        <v>0</v>
      </c>
      <c r="K306" s="136">
        <f t="shared" si="217"/>
        <v>0</v>
      </c>
      <c r="L306" s="136">
        <f t="shared" si="217"/>
        <v>0</v>
      </c>
      <c r="M306" s="136">
        <f t="shared" si="217"/>
        <v>0</v>
      </c>
      <c r="N306" s="136">
        <f t="shared" si="217"/>
        <v>0</v>
      </c>
      <c r="O306" s="136">
        <f t="shared" si="217"/>
        <v>0</v>
      </c>
      <c r="P306" s="136">
        <f t="shared" si="217"/>
        <v>0</v>
      </c>
      <c r="Q306" s="136">
        <f t="shared" si="217"/>
        <v>0</v>
      </c>
      <c r="R306" s="136">
        <f t="shared" si="217"/>
        <v>0</v>
      </c>
      <c r="S306" s="136">
        <f t="shared" si="217"/>
        <v>0</v>
      </c>
      <c r="T306" s="136">
        <f t="shared" si="217"/>
        <v>0</v>
      </c>
      <c r="U306" s="136">
        <f t="shared" si="217"/>
        <v>0</v>
      </c>
      <c r="V306" s="180">
        <f t="shared" ref="V306:V307" si="218">SUM(B306:U306)</f>
        <v>0</v>
      </c>
      <c r="W306" s="53">
        <f t="shared" ref="W306:W307" si="219">V306/20</f>
        <v>0</v>
      </c>
    </row>
    <row r="307" spans="1:23" s="3" customFormat="1" ht="12.75">
      <c r="A307" s="49" t="s">
        <v>664</v>
      </c>
      <c r="B307" s="30">
        <f>SUM(B305:B306)</f>
        <v>6.7499999999999999E-3</v>
      </c>
      <c r="C307" s="30">
        <f t="shared" ref="C307:U307" si="220">SUM(C305:C306)</f>
        <v>0</v>
      </c>
      <c r="D307" s="30">
        <f t="shared" si="220"/>
        <v>0</v>
      </c>
      <c r="E307" s="30">
        <f t="shared" si="220"/>
        <v>6.7499999999999999E-3</v>
      </c>
      <c r="F307" s="30">
        <f t="shared" si="220"/>
        <v>0</v>
      </c>
      <c r="G307" s="30">
        <f t="shared" si="220"/>
        <v>0</v>
      </c>
      <c r="H307" s="30">
        <f t="shared" si="220"/>
        <v>6.7499999999999999E-3</v>
      </c>
      <c r="I307" s="30">
        <f t="shared" si="220"/>
        <v>0</v>
      </c>
      <c r="J307" s="30">
        <f t="shared" si="220"/>
        <v>0</v>
      </c>
      <c r="K307" s="30">
        <f t="shared" si="220"/>
        <v>6.7499999999999999E-3</v>
      </c>
      <c r="L307" s="30">
        <f t="shared" si="220"/>
        <v>0</v>
      </c>
      <c r="M307" s="30">
        <f t="shared" si="220"/>
        <v>0</v>
      </c>
      <c r="N307" s="30">
        <f t="shared" si="220"/>
        <v>6.7499999999999999E-3</v>
      </c>
      <c r="O307" s="30">
        <f t="shared" si="220"/>
        <v>0</v>
      </c>
      <c r="P307" s="30">
        <f t="shared" si="220"/>
        <v>0</v>
      </c>
      <c r="Q307" s="30">
        <f t="shared" si="220"/>
        <v>6.7499999999999999E-3</v>
      </c>
      <c r="R307" s="30">
        <f t="shared" si="220"/>
        <v>0</v>
      </c>
      <c r="S307" s="30">
        <f t="shared" si="220"/>
        <v>0</v>
      </c>
      <c r="T307" s="30">
        <f t="shared" si="220"/>
        <v>6.7499999999999999E-3</v>
      </c>
      <c r="U307" s="30">
        <f t="shared" si="220"/>
        <v>0</v>
      </c>
      <c r="V307" s="180">
        <f t="shared" si="218"/>
        <v>4.725E-2</v>
      </c>
      <c r="W307" s="53">
        <f t="shared" si="219"/>
        <v>2.3625E-3</v>
      </c>
    </row>
    <row r="308" spans="1:23" ht="13.5" customHeight="1">
      <c r="A308" s="134" t="s">
        <v>123</v>
      </c>
      <c r="B308" s="52">
        <v>0.96618357487922713</v>
      </c>
      <c r="C308" s="52">
        <v>0.93351070036640305</v>
      </c>
      <c r="D308" s="52">
        <v>0.90194270566802237</v>
      </c>
      <c r="E308" s="52">
        <v>0.87144222769857238</v>
      </c>
      <c r="F308" s="52">
        <v>0.84197316685852419</v>
      </c>
      <c r="G308" s="52">
        <v>0.81350064430775282</v>
      </c>
      <c r="H308" s="52">
        <v>0.78599096068381913</v>
      </c>
      <c r="I308" s="52">
        <v>0.75941155621625056</v>
      </c>
      <c r="J308" s="52">
        <v>0.73373097218961414</v>
      </c>
      <c r="K308" s="52">
        <v>0.70891881370977217</v>
      </c>
      <c r="L308" s="52">
        <v>0.68494571372924851</v>
      </c>
      <c r="M308" s="52">
        <v>0.66178329828912896</v>
      </c>
      <c r="N308" s="52">
        <v>0.63940415293635666</v>
      </c>
      <c r="O308" s="52">
        <v>0.61778179027667302</v>
      </c>
      <c r="P308" s="52">
        <v>0.59689061862480497</v>
      </c>
      <c r="Q308" s="52">
        <v>0.57670591171478747</v>
      </c>
      <c r="R308" s="52">
        <v>0.55720377943457733</v>
      </c>
      <c r="S308" s="52">
        <v>0.53836113955031628</v>
      </c>
      <c r="T308" s="52">
        <v>0.52015569038677911</v>
      </c>
      <c r="U308" s="52">
        <v>0.50256588443167061</v>
      </c>
      <c r="V308" s="180"/>
      <c r="W308" s="133"/>
    </row>
    <row r="309" spans="1:23" s="81" customFormat="1" ht="12.75">
      <c r="A309" s="50" t="s">
        <v>1069</v>
      </c>
      <c r="B309" s="34">
        <f t="shared" ref="B309:U309" si="221">B308*B307</f>
        <v>6.5217391304347831E-3</v>
      </c>
      <c r="C309" s="34">
        <f t="shared" si="221"/>
        <v>0</v>
      </c>
      <c r="D309" s="34">
        <f t="shared" si="221"/>
        <v>0</v>
      </c>
      <c r="E309" s="34">
        <f t="shared" si="221"/>
        <v>5.8822350369653635E-3</v>
      </c>
      <c r="F309" s="34">
        <f t="shared" si="221"/>
        <v>0</v>
      </c>
      <c r="G309" s="34">
        <f t="shared" si="221"/>
        <v>0</v>
      </c>
      <c r="H309" s="34">
        <f t="shared" si="221"/>
        <v>5.3054389846157787E-3</v>
      </c>
      <c r="I309" s="34">
        <f t="shared" si="221"/>
        <v>0</v>
      </c>
      <c r="J309" s="34">
        <f t="shared" si="221"/>
        <v>0</v>
      </c>
      <c r="K309" s="34">
        <f t="shared" si="221"/>
        <v>4.785201992540962E-3</v>
      </c>
      <c r="L309" s="34">
        <f t="shared" si="221"/>
        <v>0</v>
      </c>
      <c r="M309" s="34">
        <f t="shared" si="221"/>
        <v>0</v>
      </c>
      <c r="N309" s="34">
        <f t="shared" si="221"/>
        <v>4.3159780323204075E-3</v>
      </c>
      <c r="O309" s="34">
        <f t="shared" si="221"/>
        <v>0</v>
      </c>
      <c r="P309" s="34">
        <f t="shared" si="221"/>
        <v>0</v>
      </c>
      <c r="Q309" s="34">
        <f t="shared" si="221"/>
        <v>3.8927649040748154E-3</v>
      </c>
      <c r="R309" s="34">
        <f t="shared" si="221"/>
        <v>0</v>
      </c>
      <c r="S309" s="34">
        <f t="shared" si="221"/>
        <v>0</v>
      </c>
      <c r="T309" s="34">
        <f t="shared" si="221"/>
        <v>3.5110509101107588E-3</v>
      </c>
      <c r="U309" s="34">
        <f t="shared" si="221"/>
        <v>0</v>
      </c>
      <c r="V309" s="182">
        <f>SUM(B309:U309)</f>
        <v>3.4214408991062872E-2</v>
      </c>
      <c r="W309" s="35"/>
    </row>
    <row r="310" spans="1:23" s="81" customFormat="1" ht="12.75">
      <c r="A310" s="33"/>
      <c r="B310" s="34"/>
      <c r="C310" s="34"/>
      <c r="D310" s="34"/>
      <c r="E310" s="34"/>
      <c r="F310" s="34"/>
      <c r="G310" s="34"/>
      <c r="H310" s="34"/>
      <c r="I310" s="34"/>
      <c r="J310" s="34"/>
      <c r="K310" s="34"/>
      <c r="L310" s="34"/>
      <c r="M310" s="34"/>
      <c r="N310" s="34"/>
      <c r="O310" s="34"/>
      <c r="P310" s="34"/>
      <c r="Q310" s="34"/>
      <c r="R310" s="34"/>
      <c r="S310" s="34"/>
      <c r="T310" s="34"/>
      <c r="U310" s="34"/>
      <c r="V310" s="182"/>
      <c r="W310" s="35"/>
    </row>
    <row r="311" spans="1:23" ht="12.75">
      <c r="A311" s="139" t="s">
        <v>1075</v>
      </c>
      <c r="B311" s="81"/>
      <c r="C311" s="81"/>
      <c r="D311" s="81"/>
      <c r="E311" s="81"/>
      <c r="F311" s="81"/>
      <c r="G311" s="81"/>
      <c r="H311" s="81"/>
      <c r="I311" s="81"/>
      <c r="J311" s="81"/>
      <c r="K311" s="81"/>
      <c r="L311" s="81"/>
      <c r="M311" s="81"/>
      <c r="N311" s="81"/>
      <c r="O311" s="81"/>
      <c r="P311" s="81"/>
      <c r="Q311" s="81"/>
      <c r="R311" s="81"/>
      <c r="S311" s="81"/>
      <c r="T311" s="81"/>
      <c r="U311" s="81"/>
      <c r="V311" s="179"/>
      <c r="W311" s="140"/>
    </row>
    <row r="312" spans="1:23" ht="12.75">
      <c r="A312" s="200" t="s">
        <v>679</v>
      </c>
      <c r="B312" s="136">
        <f t="shared" ref="B312:U312" si="222">B49</f>
        <v>6.7499999999999999E-3</v>
      </c>
      <c r="C312" s="136">
        <f t="shared" si="222"/>
        <v>0</v>
      </c>
      <c r="D312" s="136">
        <f t="shared" si="222"/>
        <v>0</v>
      </c>
      <c r="E312" s="136">
        <f t="shared" si="222"/>
        <v>6.7499999999999999E-3</v>
      </c>
      <c r="F312" s="136">
        <f t="shared" si="222"/>
        <v>0</v>
      </c>
      <c r="G312" s="136">
        <f t="shared" si="222"/>
        <v>0</v>
      </c>
      <c r="H312" s="136">
        <f t="shared" si="222"/>
        <v>6.7499999999999999E-3</v>
      </c>
      <c r="I312" s="136">
        <f t="shared" si="222"/>
        <v>0</v>
      </c>
      <c r="J312" s="136">
        <f t="shared" si="222"/>
        <v>0</v>
      </c>
      <c r="K312" s="136">
        <f t="shared" si="222"/>
        <v>6.7499999999999999E-3</v>
      </c>
      <c r="L312" s="136">
        <f t="shared" si="222"/>
        <v>0</v>
      </c>
      <c r="M312" s="136">
        <f t="shared" si="222"/>
        <v>0</v>
      </c>
      <c r="N312" s="136">
        <f t="shared" si="222"/>
        <v>6.7499999999999999E-3</v>
      </c>
      <c r="O312" s="136">
        <f t="shared" si="222"/>
        <v>0</v>
      </c>
      <c r="P312" s="136">
        <f t="shared" si="222"/>
        <v>0</v>
      </c>
      <c r="Q312" s="136">
        <f t="shared" si="222"/>
        <v>6.7499999999999999E-3</v>
      </c>
      <c r="R312" s="136">
        <f t="shared" si="222"/>
        <v>0</v>
      </c>
      <c r="S312" s="136">
        <f t="shared" si="222"/>
        <v>0</v>
      </c>
      <c r="T312" s="136">
        <f t="shared" si="222"/>
        <v>6.7499999999999999E-3</v>
      </c>
      <c r="U312" s="136">
        <f t="shared" si="222"/>
        <v>0</v>
      </c>
      <c r="V312" s="180">
        <f>SUM(B312:U312)</f>
        <v>4.725E-2</v>
      </c>
      <c r="W312" s="53">
        <f>V312/20</f>
        <v>2.3625E-3</v>
      </c>
    </row>
    <row r="313" spans="1:23" ht="12.75">
      <c r="A313" s="200" t="s">
        <v>680</v>
      </c>
      <c r="B313" s="136">
        <v>0</v>
      </c>
      <c r="C313" s="136">
        <v>0</v>
      </c>
      <c r="D313" s="136">
        <v>0</v>
      </c>
      <c r="E313" s="136">
        <v>0</v>
      </c>
      <c r="F313" s="136">
        <v>0</v>
      </c>
      <c r="G313" s="136">
        <v>0</v>
      </c>
      <c r="H313" s="136">
        <v>0</v>
      </c>
      <c r="I313" s="136">
        <v>0</v>
      </c>
      <c r="J313" s="136">
        <v>0</v>
      </c>
      <c r="K313" s="136">
        <v>0</v>
      </c>
      <c r="L313" s="136">
        <v>0</v>
      </c>
      <c r="M313" s="136">
        <v>0</v>
      </c>
      <c r="N313" s="136">
        <v>0</v>
      </c>
      <c r="O313" s="136">
        <v>0</v>
      </c>
      <c r="P313" s="136">
        <v>0</v>
      </c>
      <c r="Q313" s="136">
        <v>0</v>
      </c>
      <c r="R313" s="136">
        <v>0</v>
      </c>
      <c r="S313" s="136">
        <v>0</v>
      </c>
      <c r="T313" s="136">
        <v>0</v>
      </c>
      <c r="U313" s="136">
        <v>0</v>
      </c>
      <c r="V313" s="180">
        <f t="shared" ref="V313:V314" si="223">SUM(B313:U313)</f>
        <v>0</v>
      </c>
      <c r="W313" s="53">
        <f t="shared" ref="W313:W314" si="224">V313/20</f>
        <v>0</v>
      </c>
    </row>
    <row r="314" spans="1:23" s="3" customFormat="1" ht="12.75">
      <c r="A314" s="49" t="s">
        <v>664</v>
      </c>
      <c r="B314" s="30">
        <f>SUM(B312:B313)</f>
        <v>6.7499999999999999E-3</v>
      </c>
      <c r="C314" s="30">
        <f t="shared" ref="C314:U314" si="225">SUM(C312:C313)</f>
        <v>0</v>
      </c>
      <c r="D314" s="30">
        <f t="shared" si="225"/>
        <v>0</v>
      </c>
      <c r="E314" s="30">
        <f t="shared" si="225"/>
        <v>6.7499999999999999E-3</v>
      </c>
      <c r="F314" s="30">
        <f t="shared" si="225"/>
        <v>0</v>
      </c>
      <c r="G314" s="30">
        <f t="shared" si="225"/>
        <v>0</v>
      </c>
      <c r="H314" s="30">
        <f t="shared" si="225"/>
        <v>6.7499999999999999E-3</v>
      </c>
      <c r="I314" s="30">
        <f t="shared" si="225"/>
        <v>0</v>
      </c>
      <c r="J314" s="30">
        <f t="shared" si="225"/>
        <v>0</v>
      </c>
      <c r="K314" s="30">
        <f t="shared" si="225"/>
        <v>6.7499999999999999E-3</v>
      </c>
      <c r="L314" s="30">
        <f t="shared" si="225"/>
        <v>0</v>
      </c>
      <c r="M314" s="30">
        <f t="shared" si="225"/>
        <v>0</v>
      </c>
      <c r="N314" s="30">
        <f t="shared" si="225"/>
        <v>6.7499999999999999E-3</v>
      </c>
      <c r="O314" s="30">
        <f t="shared" si="225"/>
        <v>0</v>
      </c>
      <c r="P314" s="30">
        <f t="shared" si="225"/>
        <v>0</v>
      </c>
      <c r="Q314" s="30">
        <f t="shared" si="225"/>
        <v>6.7499999999999999E-3</v>
      </c>
      <c r="R314" s="30">
        <f t="shared" si="225"/>
        <v>0</v>
      </c>
      <c r="S314" s="30">
        <f t="shared" si="225"/>
        <v>0</v>
      </c>
      <c r="T314" s="30">
        <f t="shared" si="225"/>
        <v>6.7499999999999999E-3</v>
      </c>
      <c r="U314" s="30">
        <f t="shared" si="225"/>
        <v>0</v>
      </c>
      <c r="V314" s="180">
        <f t="shared" si="223"/>
        <v>4.725E-2</v>
      </c>
      <c r="W314" s="53">
        <f t="shared" si="224"/>
        <v>2.3625E-3</v>
      </c>
    </row>
    <row r="315" spans="1:23" ht="13.5" customHeight="1">
      <c r="A315" s="134" t="s">
        <v>123</v>
      </c>
      <c r="B315" s="52">
        <v>0.96618357487922713</v>
      </c>
      <c r="C315" s="52">
        <v>0.93351070036640305</v>
      </c>
      <c r="D315" s="52">
        <v>0.90194270566802237</v>
      </c>
      <c r="E315" s="52">
        <v>0.87144222769857238</v>
      </c>
      <c r="F315" s="52">
        <v>0.84197316685852419</v>
      </c>
      <c r="G315" s="52">
        <v>0.81350064430775282</v>
      </c>
      <c r="H315" s="52">
        <v>0.78599096068381913</v>
      </c>
      <c r="I315" s="52">
        <v>0.75941155621625056</v>
      </c>
      <c r="J315" s="52">
        <v>0.73373097218961414</v>
      </c>
      <c r="K315" s="52">
        <v>0.70891881370977217</v>
      </c>
      <c r="L315" s="52">
        <v>0.68494571372924851</v>
      </c>
      <c r="M315" s="52">
        <v>0.66178329828912896</v>
      </c>
      <c r="N315" s="52">
        <v>0.63940415293635666</v>
      </c>
      <c r="O315" s="52">
        <v>0.61778179027667302</v>
      </c>
      <c r="P315" s="52">
        <v>0.59689061862480497</v>
      </c>
      <c r="Q315" s="52">
        <v>0.57670591171478747</v>
      </c>
      <c r="R315" s="52">
        <v>0.55720377943457733</v>
      </c>
      <c r="S315" s="52">
        <v>0.53836113955031628</v>
      </c>
      <c r="T315" s="52">
        <v>0.52015569038677911</v>
      </c>
      <c r="U315" s="52">
        <v>0.50256588443167061</v>
      </c>
      <c r="V315" s="180"/>
      <c r="W315" s="133"/>
    </row>
    <row r="316" spans="1:23" s="81" customFormat="1" ht="12.75">
      <c r="A316" s="50" t="s">
        <v>1069</v>
      </c>
      <c r="B316" s="34">
        <f t="shared" ref="B316:U316" si="226">B315*B314</f>
        <v>6.5217391304347831E-3</v>
      </c>
      <c r="C316" s="34">
        <f t="shared" si="226"/>
        <v>0</v>
      </c>
      <c r="D316" s="34">
        <f t="shared" si="226"/>
        <v>0</v>
      </c>
      <c r="E316" s="34">
        <f t="shared" si="226"/>
        <v>5.8822350369653635E-3</v>
      </c>
      <c r="F316" s="34">
        <f t="shared" si="226"/>
        <v>0</v>
      </c>
      <c r="G316" s="34">
        <f t="shared" si="226"/>
        <v>0</v>
      </c>
      <c r="H316" s="34">
        <f t="shared" si="226"/>
        <v>5.3054389846157787E-3</v>
      </c>
      <c r="I316" s="34">
        <f t="shared" si="226"/>
        <v>0</v>
      </c>
      <c r="J316" s="34">
        <f t="shared" si="226"/>
        <v>0</v>
      </c>
      <c r="K316" s="34">
        <f t="shared" si="226"/>
        <v>4.785201992540962E-3</v>
      </c>
      <c r="L316" s="34">
        <f t="shared" si="226"/>
        <v>0</v>
      </c>
      <c r="M316" s="34">
        <f t="shared" si="226"/>
        <v>0</v>
      </c>
      <c r="N316" s="34">
        <f t="shared" si="226"/>
        <v>4.3159780323204075E-3</v>
      </c>
      <c r="O316" s="34">
        <f t="shared" si="226"/>
        <v>0</v>
      </c>
      <c r="P316" s="34">
        <f t="shared" si="226"/>
        <v>0</v>
      </c>
      <c r="Q316" s="34">
        <f t="shared" si="226"/>
        <v>3.8927649040748154E-3</v>
      </c>
      <c r="R316" s="34">
        <f t="shared" si="226"/>
        <v>0</v>
      </c>
      <c r="S316" s="34">
        <f t="shared" si="226"/>
        <v>0</v>
      </c>
      <c r="T316" s="34">
        <f t="shared" si="226"/>
        <v>3.5110509101107588E-3</v>
      </c>
      <c r="U316" s="34">
        <f t="shared" si="226"/>
        <v>0</v>
      </c>
      <c r="V316" s="182">
        <f>SUM(B316:U316)</f>
        <v>3.4214408991062872E-2</v>
      </c>
      <c r="W316" s="35"/>
    </row>
    <row r="317" spans="1:23" s="81" customFormat="1" ht="12.75">
      <c r="A317" s="33"/>
      <c r="B317" s="34"/>
      <c r="C317" s="34"/>
      <c r="D317" s="34"/>
      <c r="E317" s="34"/>
      <c r="F317" s="34"/>
      <c r="G317" s="34"/>
      <c r="H317" s="34"/>
      <c r="I317" s="34"/>
      <c r="J317" s="34"/>
      <c r="K317" s="34"/>
      <c r="L317" s="34"/>
      <c r="M317" s="34"/>
      <c r="N317" s="34"/>
      <c r="O317" s="34"/>
      <c r="P317" s="34"/>
      <c r="Q317" s="34"/>
      <c r="R317" s="34"/>
      <c r="S317" s="34"/>
      <c r="T317" s="34"/>
      <c r="U317" s="34"/>
      <c r="V317" s="182"/>
      <c r="W317" s="35"/>
    </row>
    <row r="318" spans="1:23" ht="12.75">
      <c r="A318" s="139" t="s">
        <v>1074</v>
      </c>
      <c r="B318" s="81"/>
      <c r="C318" s="81"/>
      <c r="D318" s="81"/>
      <c r="E318" s="81"/>
      <c r="F318" s="81"/>
      <c r="G318" s="81"/>
      <c r="H318" s="81"/>
      <c r="I318" s="81"/>
      <c r="J318" s="81"/>
      <c r="K318" s="81"/>
      <c r="L318" s="81"/>
      <c r="M318" s="81"/>
      <c r="N318" s="81"/>
      <c r="O318" s="81"/>
      <c r="P318" s="81"/>
      <c r="Q318" s="81"/>
      <c r="R318" s="81"/>
      <c r="S318" s="81"/>
      <c r="T318" s="81"/>
      <c r="U318" s="81"/>
      <c r="V318" s="179"/>
      <c r="W318" s="140"/>
    </row>
    <row r="319" spans="1:23" ht="12.75">
      <c r="A319" s="200" t="s">
        <v>679</v>
      </c>
      <c r="B319" s="136">
        <f t="shared" ref="B319:U319" si="227">B50</f>
        <v>6.7499999999999999E-3</v>
      </c>
      <c r="C319" s="136">
        <f t="shared" si="227"/>
        <v>0</v>
      </c>
      <c r="D319" s="136">
        <f t="shared" si="227"/>
        <v>0</v>
      </c>
      <c r="E319" s="136">
        <f t="shared" si="227"/>
        <v>6.7499999999999999E-3</v>
      </c>
      <c r="F319" s="136">
        <f t="shared" si="227"/>
        <v>0</v>
      </c>
      <c r="G319" s="136">
        <f t="shared" si="227"/>
        <v>0</v>
      </c>
      <c r="H319" s="136">
        <f t="shared" si="227"/>
        <v>6.7499999999999999E-3</v>
      </c>
      <c r="I319" s="136">
        <f t="shared" si="227"/>
        <v>0</v>
      </c>
      <c r="J319" s="136">
        <f t="shared" si="227"/>
        <v>0</v>
      </c>
      <c r="K319" s="136">
        <f t="shared" si="227"/>
        <v>6.7499999999999999E-3</v>
      </c>
      <c r="L319" s="136">
        <f t="shared" si="227"/>
        <v>0</v>
      </c>
      <c r="M319" s="136">
        <f t="shared" si="227"/>
        <v>0</v>
      </c>
      <c r="N319" s="136">
        <f t="shared" si="227"/>
        <v>6.7499999999999999E-3</v>
      </c>
      <c r="O319" s="136">
        <f t="shared" si="227"/>
        <v>0</v>
      </c>
      <c r="P319" s="136">
        <f t="shared" si="227"/>
        <v>0</v>
      </c>
      <c r="Q319" s="136">
        <f t="shared" si="227"/>
        <v>6.7499999999999999E-3</v>
      </c>
      <c r="R319" s="136">
        <f t="shared" si="227"/>
        <v>0</v>
      </c>
      <c r="S319" s="136">
        <f t="shared" si="227"/>
        <v>0</v>
      </c>
      <c r="T319" s="136">
        <f t="shared" si="227"/>
        <v>6.7499999999999999E-3</v>
      </c>
      <c r="U319" s="136">
        <f t="shared" si="227"/>
        <v>0</v>
      </c>
      <c r="V319" s="180">
        <f>SUM(B319:U319)</f>
        <v>4.725E-2</v>
      </c>
      <c r="W319" s="53">
        <f>V319/20</f>
        <v>2.3625E-3</v>
      </c>
    </row>
    <row r="320" spans="1:23" ht="12.75">
      <c r="A320" s="200" t="s">
        <v>680</v>
      </c>
      <c r="B320" s="136">
        <f t="shared" ref="B320:U320" si="228">B70</f>
        <v>1.3500000000000001E-3</v>
      </c>
      <c r="C320" s="136">
        <f t="shared" si="228"/>
        <v>1.3500000000000001E-3</v>
      </c>
      <c r="D320" s="136">
        <f t="shared" si="228"/>
        <v>1.3500000000000001E-3</v>
      </c>
      <c r="E320" s="136">
        <f t="shared" si="228"/>
        <v>1.3500000000000001E-3</v>
      </c>
      <c r="F320" s="136">
        <f t="shared" si="228"/>
        <v>1.3500000000000001E-3</v>
      </c>
      <c r="G320" s="136">
        <f t="shared" si="228"/>
        <v>1.3500000000000001E-3</v>
      </c>
      <c r="H320" s="136">
        <f t="shared" si="228"/>
        <v>1.3500000000000001E-3</v>
      </c>
      <c r="I320" s="136">
        <f t="shared" si="228"/>
        <v>1.3500000000000001E-3</v>
      </c>
      <c r="J320" s="136">
        <f t="shared" si="228"/>
        <v>1.3500000000000001E-3</v>
      </c>
      <c r="K320" s="136">
        <f t="shared" si="228"/>
        <v>1.3500000000000001E-3</v>
      </c>
      <c r="L320" s="136">
        <f t="shared" si="228"/>
        <v>1.3500000000000001E-3</v>
      </c>
      <c r="M320" s="136">
        <f t="shared" si="228"/>
        <v>1.3500000000000001E-3</v>
      </c>
      <c r="N320" s="136">
        <f t="shared" si="228"/>
        <v>1.3500000000000001E-3</v>
      </c>
      <c r="O320" s="136">
        <f t="shared" si="228"/>
        <v>1.3500000000000001E-3</v>
      </c>
      <c r="P320" s="136">
        <f t="shared" si="228"/>
        <v>1.3500000000000001E-3</v>
      </c>
      <c r="Q320" s="136">
        <f t="shared" si="228"/>
        <v>1.3500000000000001E-3</v>
      </c>
      <c r="R320" s="136">
        <f t="shared" si="228"/>
        <v>1.3500000000000001E-3</v>
      </c>
      <c r="S320" s="136">
        <f t="shared" si="228"/>
        <v>1.3500000000000001E-3</v>
      </c>
      <c r="T320" s="136">
        <f t="shared" si="228"/>
        <v>1.3500000000000001E-3</v>
      </c>
      <c r="U320" s="136">
        <f t="shared" si="228"/>
        <v>1.3500000000000001E-3</v>
      </c>
      <c r="V320" s="180">
        <f t="shared" ref="V320:V321" si="229">SUM(B320:U320)</f>
        <v>2.7000000000000007E-2</v>
      </c>
      <c r="W320" s="53">
        <f t="shared" ref="W320:W321" si="230">V320/20</f>
        <v>1.3500000000000003E-3</v>
      </c>
    </row>
    <row r="321" spans="1:23" s="3" customFormat="1" ht="12.75">
      <c r="A321" s="49" t="s">
        <v>664</v>
      </c>
      <c r="B321" s="30">
        <f>SUM(B319:B320)</f>
        <v>8.0999999999999996E-3</v>
      </c>
      <c r="C321" s="30">
        <f t="shared" ref="C321:U321" si="231">SUM(C319:C320)</f>
        <v>1.3500000000000001E-3</v>
      </c>
      <c r="D321" s="30">
        <f t="shared" si="231"/>
        <v>1.3500000000000001E-3</v>
      </c>
      <c r="E321" s="30">
        <f t="shared" si="231"/>
        <v>8.0999999999999996E-3</v>
      </c>
      <c r="F321" s="30">
        <f t="shared" si="231"/>
        <v>1.3500000000000001E-3</v>
      </c>
      <c r="G321" s="30">
        <f t="shared" si="231"/>
        <v>1.3500000000000001E-3</v>
      </c>
      <c r="H321" s="30">
        <f t="shared" si="231"/>
        <v>8.0999999999999996E-3</v>
      </c>
      <c r="I321" s="30">
        <f t="shared" si="231"/>
        <v>1.3500000000000001E-3</v>
      </c>
      <c r="J321" s="30">
        <f t="shared" si="231"/>
        <v>1.3500000000000001E-3</v>
      </c>
      <c r="K321" s="30">
        <f t="shared" si="231"/>
        <v>8.0999999999999996E-3</v>
      </c>
      <c r="L321" s="30">
        <f t="shared" si="231"/>
        <v>1.3500000000000001E-3</v>
      </c>
      <c r="M321" s="30">
        <f t="shared" si="231"/>
        <v>1.3500000000000001E-3</v>
      </c>
      <c r="N321" s="30">
        <f t="shared" si="231"/>
        <v>8.0999999999999996E-3</v>
      </c>
      <c r="O321" s="30">
        <f t="shared" si="231"/>
        <v>1.3500000000000001E-3</v>
      </c>
      <c r="P321" s="30">
        <f t="shared" si="231"/>
        <v>1.3500000000000001E-3</v>
      </c>
      <c r="Q321" s="30">
        <f t="shared" si="231"/>
        <v>8.0999999999999996E-3</v>
      </c>
      <c r="R321" s="30">
        <f t="shared" si="231"/>
        <v>1.3500000000000001E-3</v>
      </c>
      <c r="S321" s="30">
        <f t="shared" si="231"/>
        <v>1.3500000000000001E-3</v>
      </c>
      <c r="T321" s="30">
        <f t="shared" si="231"/>
        <v>8.0999999999999996E-3</v>
      </c>
      <c r="U321" s="30">
        <f t="shared" si="231"/>
        <v>1.3500000000000001E-3</v>
      </c>
      <c r="V321" s="180">
        <f t="shared" si="229"/>
        <v>7.4249999999999983E-2</v>
      </c>
      <c r="W321" s="53">
        <f t="shared" si="230"/>
        <v>3.7124999999999992E-3</v>
      </c>
    </row>
    <row r="322" spans="1:23" ht="13.5" customHeight="1">
      <c r="A322" s="134" t="s">
        <v>123</v>
      </c>
      <c r="B322" s="52">
        <v>0.96618357487922713</v>
      </c>
      <c r="C322" s="52">
        <v>0.93351070036640305</v>
      </c>
      <c r="D322" s="52">
        <v>0.90194270566802237</v>
      </c>
      <c r="E322" s="52">
        <v>0.87144222769857238</v>
      </c>
      <c r="F322" s="52">
        <v>0.84197316685852419</v>
      </c>
      <c r="G322" s="52">
        <v>0.81350064430775282</v>
      </c>
      <c r="H322" s="52">
        <v>0.78599096068381913</v>
      </c>
      <c r="I322" s="52">
        <v>0.75941155621625056</v>
      </c>
      <c r="J322" s="52">
        <v>0.73373097218961414</v>
      </c>
      <c r="K322" s="52">
        <v>0.70891881370977217</v>
      </c>
      <c r="L322" s="52">
        <v>0.68494571372924851</v>
      </c>
      <c r="M322" s="52">
        <v>0.66178329828912896</v>
      </c>
      <c r="N322" s="52">
        <v>0.63940415293635666</v>
      </c>
      <c r="O322" s="52">
        <v>0.61778179027667302</v>
      </c>
      <c r="P322" s="52">
        <v>0.59689061862480497</v>
      </c>
      <c r="Q322" s="52">
        <v>0.57670591171478747</v>
      </c>
      <c r="R322" s="52">
        <v>0.55720377943457733</v>
      </c>
      <c r="S322" s="52">
        <v>0.53836113955031628</v>
      </c>
      <c r="T322" s="52">
        <v>0.52015569038677911</v>
      </c>
      <c r="U322" s="52">
        <v>0.50256588443167061</v>
      </c>
      <c r="V322" s="180"/>
      <c r="W322" s="133"/>
    </row>
    <row r="323" spans="1:23" s="81" customFormat="1" ht="12.75">
      <c r="A323" s="50" t="s">
        <v>1069</v>
      </c>
      <c r="B323" s="34">
        <f t="shared" ref="B323:U323" si="232">B322*B321</f>
        <v>7.8260869565217397E-3</v>
      </c>
      <c r="C323" s="34">
        <f t="shared" si="232"/>
        <v>1.2602394454946442E-3</v>
      </c>
      <c r="D323" s="34">
        <f t="shared" si="232"/>
        <v>1.2176226526518302E-3</v>
      </c>
      <c r="E323" s="34">
        <f t="shared" si="232"/>
        <v>7.0586820443584355E-3</v>
      </c>
      <c r="F323" s="34">
        <f t="shared" si="232"/>
        <v>1.1366637752590078E-3</v>
      </c>
      <c r="G323" s="34">
        <f t="shared" si="232"/>
        <v>1.0982258698154664E-3</v>
      </c>
      <c r="H323" s="34">
        <f t="shared" si="232"/>
        <v>6.3665267815389342E-3</v>
      </c>
      <c r="I323" s="34">
        <f t="shared" si="232"/>
        <v>1.0252056008919384E-3</v>
      </c>
      <c r="J323" s="34">
        <f t="shared" si="232"/>
        <v>9.9053681245597921E-4</v>
      </c>
      <c r="K323" s="34">
        <f t="shared" si="232"/>
        <v>5.7422423910491538E-3</v>
      </c>
      <c r="L323" s="34">
        <f t="shared" si="232"/>
        <v>9.2467671353448555E-4</v>
      </c>
      <c r="M323" s="34">
        <f t="shared" si="232"/>
        <v>8.9340745269032417E-4</v>
      </c>
      <c r="N323" s="34">
        <f t="shared" si="232"/>
        <v>5.1791736387844884E-3</v>
      </c>
      <c r="O323" s="34">
        <f t="shared" si="232"/>
        <v>8.3400541687350866E-4</v>
      </c>
      <c r="P323" s="34">
        <f t="shared" si="232"/>
        <v>8.0580233514348674E-4</v>
      </c>
      <c r="Q323" s="34">
        <f t="shared" si="232"/>
        <v>4.6713178848897781E-3</v>
      </c>
      <c r="R323" s="34">
        <f t="shared" si="232"/>
        <v>7.5222510223667944E-4</v>
      </c>
      <c r="S323" s="34">
        <f t="shared" si="232"/>
        <v>7.2678753839292703E-4</v>
      </c>
      <c r="T323" s="34">
        <f t="shared" si="232"/>
        <v>4.2132610921329109E-3</v>
      </c>
      <c r="U323" s="34">
        <f t="shared" si="232"/>
        <v>6.7846394398275538E-4</v>
      </c>
      <c r="V323" s="182">
        <f>SUM(B323:U323)</f>
        <v>5.3401153448698474E-2</v>
      </c>
      <c r="W323" s="35"/>
    </row>
    <row r="324" spans="1:23" s="81" customFormat="1" ht="12.75">
      <c r="A324" s="33"/>
      <c r="B324" s="34"/>
      <c r="C324" s="34"/>
      <c r="D324" s="34"/>
      <c r="E324" s="34"/>
      <c r="F324" s="34"/>
      <c r="G324" s="34"/>
      <c r="H324" s="34"/>
      <c r="I324" s="34"/>
      <c r="J324" s="34"/>
      <c r="K324" s="34"/>
      <c r="L324" s="34"/>
      <c r="M324" s="34"/>
      <c r="N324" s="34"/>
      <c r="O324" s="34"/>
      <c r="P324" s="34"/>
      <c r="Q324" s="34"/>
      <c r="R324" s="34"/>
      <c r="S324" s="34"/>
      <c r="T324" s="34"/>
      <c r="U324" s="34"/>
      <c r="V324" s="182"/>
      <c r="W324" s="35"/>
    </row>
    <row r="325" spans="1:23" ht="12.75">
      <c r="A325" s="139" t="s">
        <v>1073</v>
      </c>
      <c r="B325" s="81"/>
      <c r="C325" s="81"/>
      <c r="D325" s="81"/>
      <c r="E325" s="81"/>
      <c r="F325" s="81"/>
      <c r="G325" s="81"/>
      <c r="H325" s="81"/>
      <c r="I325" s="81"/>
      <c r="J325" s="81"/>
      <c r="K325" s="81"/>
      <c r="L325" s="81"/>
      <c r="M325" s="81"/>
      <c r="N325" s="81"/>
      <c r="O325" s="81"/>
      <c r="P325" s="81"/>
      <c r="Q325" s="81"/>
      <c r="R325" s="81"/>
      <c r="S325" s="81"/>
      <c r="T325" s="81"/>
      <c r="U325" s="81"/>
      <c r="V325" s="179"/>
      <c r="W325" s="140"/>
    </row>
    <row r="326" spans="1:23" ht="12.75">
      <c r="A326" s="200" t="s">
        <v>679</v>
      </c>
      <c r="B326" s="136">
        <f t="shared" ref="B326:U326" si="233">B51</f>
        <v>6.7499999999999999E-3</v>
      </c>
      <c r="C326" s="136">
        <f t="shared" si="233"/>
        <v>0</v>
      </c>
      <c r="D326" s="136">
        <f t="shared" si="233"/>
        <v>0</v>
      </c>
      <c r="E326" s="136">
        <f t="shared" si="233"/>
        <v>6.7499999999999999E-3</v>
      </c>
      <c r="F326" s="136">
        <f t="shared" si="233"/>
        <v>0</v>
      </c>
      <c r="G326" s="136">
        <f t="shared" si="233"/>
        <v>0</v>
      </c>
      <c r="H326" s="136">
        <f t="shared" si="233"/>
        <v>6.7499999999999999E-3</v>
      </c>
      <c r="I326" s="136">
        <f t="shared" si="233"/>
        <v>0</v>
      </c>
      <c r="J326" s="136">
        <f t="shared" si="233"/>
        <v>0</v>
      </c>
      <c r="K326" s="136">
        <f t="shared" si="233"/>
        <v>6.7499999999999999E-3</v>
      </c>
      <c r="L326" s="136">
        <f t="shared" si="233"/>
        <v>0</v>
      </c>
      <c r="M326" s="136">
        <f t="shared" si="233"/>
        <v>0</v>
      </c>
      <c r="N326" s="136">
        <f t="shared" si="233"/>
        <v>6.7499999999999999E-3</v>
      </c>
      <c r="O326" s="136">
        <f t="shared" si="233"/>
        <v>0</v>
      </c>
      <c r="P326" s="136">
        <f t="shared" si="233"/>
        <v>0</v>
      </c>
      <c r="Q326" s="136">
        <f t="shared" si="233"/>
        <v>6.7499999999999999E-3</v>
      </c>
      <c r="R326" s="136">
        <f t="shared" si="233"/>
        <v>0</v>
      </c>
      <c r="S326" s="136">
        <f t="shared" si="233"/>
        <v>0</v>
      </c>
      <c r="T326" s="136">
        <f t="shared" si="233"/>
        <v>6.7499999999999999E-3</v>
      </c>
      <c r="U326" s="136">
        <f t="shared" si="233"/>
        <v>0</v>
      </c>
      <c r="V326" s="180">
        <f>SUM(B326:U326)</f>
        <v>4.725E-2</v>
      </c>
      <c r="W326" s="53">
        <f>V326/20</f>
        <v>2.3625E-3</v>
      </c>
    </row>
    <row r="327" spans="1:23" ht="12.75">
      <c r="A327" s="200" t="s">
        <v>680</v>
      </c>
      <c r="B327" s="136">
        <v>0</v>
      </c>
      <c r="C327" s="136">
        <v>0</v>
      </c>
      <c r="D327" s="136">
        <v>0</v>
      </c>
      <c r="E327" s="136">
        <v>0</v>
      </c>
      <c r="F327" s="136">
        <v>0</v>
      </c>
      <c r="G327" s="136">
        <v>0</v>
      </c>
      <c r="H327" s="136">
        <v>0</v>
      </c>
      <c r="I327" s="136">
        <v>0</v>
      </c>
      <c r="J327" s="136">
        <v>0</v>
      </c>
      <c r="K327" s="136">
        <v>0</v>
      </c>
      <c r="L327" s="136">
        <v>0</v>
      </c>
      <c r="M327" s="136">
        <v>0</v>
      </c>
      <c r="N327" s="136">
        <v>0</v>
      </c>
      <c r="O327" s="136">
        <v>0</v>
      </c>
      <c r="P327" s="136">
        <v>0</v>
      </c>
      <c r="Q327" s="136">
        <v>0</v>
      </c>
      <c r="R327" s="136">
        <v>0</v>
      </c>
      <c r="S327" s="136">
        <v>0</v>
      </c>
      <c r="T327" s="136">
        <v>0</v>
      </c>
      <c r="U327" s="136">
        <v>0</v>
      </c>
      <c r="V327" s="180">
        <f t="shared" ref="V327:V328" si="234">SUM(B327:U327)</f>
        <v>0</v>
      </c>
      <c r="W327" s="53">
        <f t="shared" ref="W327:W328" si="235">V327/20</f>
        <v>0</v>
      </c>
    </row>
    <row r="328" spans="1:23" s="3" customFormat="1" ht="12.75">
      <c r="A328" s="49" t="s">
        <v>664</v>
      </c>
      <c r="B328" s="30">
        <f>SUM(B326:B327)</f>
        <v>6.7499999999999999E-3</v>
      </c>
      <c r="C328" s="30">
        <f t="shared" ref="C328:U328" si="236">SUM(C326:C327)</f>
        <v>0</v>
      </c>
      <c r="D328" s="30">
        <f t="shared" si="236"/>
        <v>0</v>
      </c>
      <c r="E328" s="30">
        <f t="shared" si="236"/>
        <v>6.7499999999999999E-3</v>
      </c>
      <c r="F328" s="30">
        <f t="shared" si="236"/>
        <v>0</v>
      </c>
      <c r="G328" s="30">
        <f t="shared" si="236"/>
        <v>0</v>
      </c>
      <c r="H328" s="30">
        <f t="shared" si="236"/>
        <v>6.7499999999999999E-3</v>
      </c>
      <c r="I328" s="30">
        <f t="shared" si="236"/>
        <v>0</v>
      </c>
      <c r="J328" s="30">
        <f t="shared" si="236"/>
        <v>0</v>
      </c>
      <c r="K328" s="30">
        <f t="shared" si="236"/>
        <v>6.7499999999999999E-3</v>
      </c>
      <c r="L328" s="30">
        <f t="shared" si="236"/>
        <v>0</v>
      </c>
      <c r="M328" s="30">
        <f t="shared" si="236"/>
        <v>0</v>
      </c>
      <c r="N328" s="30">
        <f t="shared" si="236"/>
        <v>6.7499999999999999E-3</v>
      </c>
      <c r="O328" s="30">
        <f t="shared" si="236"/>
        <v>0</v>
      </c>
      <c r="P328" s="30">
        <f t="shared" si="236"/>
        <v>0</v>
      </c>
      <c r="Q328" s="30">
        <f t="shared" si="236"/>
        <v>6.7499999999999999E-3</v>
      </c>
      <c r="R328" s="30">
        <f t="shared" si="236"/>
        <v>0</v>
      </c>
      <c r="S328" s="30">
        <f t="shared" si="236"/>
        <v>0</v>
      </c>
      <c r="T328" s="30">
        <f t="shared" si="236"/>
        <v>6.7499999999999999E-3</v>
      </c>
      <c r="U328" s="30">
        <f t="shared" si="236"/>
        <v>0</v>
      </c>
      <c r="V328" s="180">
        <f t="shared" si="234"/>
        <v>4.725E-2</v>
      </c>
      <c r="W328" s="53">
        <f t="shared" si="235"/>
        <v>2.3625E-3</v>
      </c>
    </row>
    <row r="329" spans="1:23" ht="13.5" customHeight="1">
      <c r="A329" s="134" t="s">
        <v>123</v>
      </c>
      <c r="B329" s="52">
        <v>0.96618357487922713</v>
      </c>
      <c r="C329" s="52">
        <v>0.93351070036640305</v>
      </c>
      <c r="D329" s="52">
        <v>0.90194270566802237</v>
      </c>
      <c r="E329" s="52">
        <v>0.87144222769857238</v>
      </c>
      <c r="F329" s="52">
        <v>0.84197316685852419</v>
      </c>
      <c r="G329" s="52">
        <v>0.81350064430775282</v>
      </c>
      <c r="H329" s="52">
        <v>0.78599096068381913</v>
      </c>
      <c r="I329" s="52">
        <v>0.75941155621625056</v>
      </c>
      <c r="J329" s="52">
        <v>0.73373097218961414</v>
      </c>
      <c r="K329" s="52">
        <v>0.70891881370977217</v>
      </c>
      <c r="L329" s="52">
        <v>0.68494571372924851</v>
      </c>
      <c r="M329" s="52">
        <v>0.66178329828912896</v>
      </c>
      <c r="N329" s="52">
        <v>0.63940415293635666</v>
      </c>
      <c r="O329" s="52">
        <v>0.61778179027667302</v>
      </c>
      <c r="P329" s="52">
        <v>0.59689061862480497</v>
      </c>
      <c r="Q329" s="52">
        <v>0.57670591171478747</v>
      </c>
      <c r="R329" s="52">
        <v>0.55720377943457733</v>
      </c>
      <c r="S329" s="52">
        <v>0.53836113955031628</v>
      </c>
      <c r="T329" s="52">
        <v>0.52015569038677911</v>
      </c>
      <c r="U329" s="52">
        <v>0.50256588443167061</v>
      </c>
      <c r="V329" s="180"/>
      <c r="W329" s="133"/>
    </row>
    <row r="330" spans="1:23" s="81" customFormat="1" ht="12.75">
      <c r="A330" s="50" t="s">
        <v>1069</v>
      </c>
      <c r="B330" s="34">
        <f t="shared" ref="B330:U330" si="237">B329*B328</f>
        <v>6.5217391304347831E-3</v>
      </c>
      <c r="C330" s="34">
        <f t="shared" si="237"/>
        <v>0</v>
      </c>
      <c r="D330" s="34">
        <f t="shared" si="237"/>
        <v>0</v>
      </c>
      <c r="E330" s="34">
        <f t="shared" si="237"/>
        <v>5.8822350369653635E-3</v>
      </c>
      <c r="F330" s="34">
        <f t="shared" si="237"/>
        <v>0</v>
      </c>
      <c r="G330" s="34">
        <f t="shared" si="237"/>
        <v>0</v>
      </c>
      <c r="H330" s="34">
        <f t="shared" si="237"/>
        <v>5.3054389846157787E-3</v>
      </c>
      <c r="I330" s="34">
        <f t="shared" si="237"/>
        <v>0</v>
      </c>
      <c r="J330" s="34">
        <f t="shared" si="237"/>
        <v>0</v>
      </c>
      <c r="K330" s="34">
        <f t="shared" si="237"/>
        <v>4.785201992540962E-3</v>
      </c>
      <c r="L330" s="34">
        <f t="shared" si="237"/>
        <v>0</v>
      </c>
      <c r="M330" s="34">
        <f t="shared" si="237"/>
        <v>0</v>
      </c>
      <c r="N330" s="34">
        <f t="shared" si="237"/>
        <v>4.3159780323204075E-3</v>
      </c>
      <c r="O330" s="34">
        <f t="shared" si="237"/>
        <v>0</v>
      </c>
      <c r="P330" s="34">
        <f t="shared" si="237"/>
        <v>0</v>
      </c>
      <c r="Q330" s="34">
        <f t="shared" si="237"/>
        <v>3.8927649040748154E-3</v>
      </c>
      <c r="R330" s="34">
        <f t="shared" si="237"/>
        <v>0</v>
      </c>
      <c r="S330" s="34">
        <f t="shared" si="237"/>
        <v>0</v>
      </c>
      <c r="T330" s="34">
        <f t="shared" si="237"/>
        <v>3.5110509101107588E-3</v>
      </c>
      <c r="U330" s="34">
        <f t="shared" si="237"/>
        <v>0</v>
      </c>
      <c r="V330" s="182">
        <f>SUM(B330:U330)</f>
        <v>3.4214408991062872E-2</v>
      </c>
      <c r="W330" s="35"/>
    </row>
    <row r="331" spans="1:23" s="81" customFormat="1" ht="12.75">
      <c r="A331" s="33"/>
      <c r="B331" s="34"/>
      <c r="C331" s="34"/>
      <c r="D331" s="34"/>
      <c r="E331" s="34"/>
      <c r="F331" s="34"/>
      <c r="G331" s="34"/>
      <c r="H331" s="34"/>
      <c r="I331" s="34"/>
      <c r="J331" s="34"/>
      <c r="K331" s="34"/>
      <c r="L331" s="34"/>
      <c r="M331" s="34"/>
      <c r="N331" s="34"/>
      <c r="O331" s="34"/>
      <c r="P331" s="34"/>
      <c r="Q331" s="34"/>
      <c r="R331" s="34"/>
      <c r="S331" s="34"/>
      <c r="T331" s="34"/>
      <c r="U331" s="34"/>
      <c r="V331" s="182"/>
      <c r="W331" s="35"/>
    </row>
    <row r="332" spans="1:23" ht="12.75">
      <c r="A332" s="139" t="s">
        <v>1072</v>
      </c>
      <c r="B332" s="81"/>
      <c r="C332" s="81"/>
      <c r="D332" s="81"/>
      <c r="E332" s="81"/>
      <c r="F332" s="81"/>
      <c r="G332" s="81"/>
      <c r="H332" s="81"/>
      <c r="I332" s="81"/>
      <c r="J332" s="81"/>
      <c r="K332" s="81"/>
      <c r="L332" s="81"/>
      <c r="M332" s="81"/>
      <c r="N332" s="81"/>
      <c r="O332" s="81"/>
      <c r="P332" s="81"/>
      <c r="Q332" s="81"/>
      <c r="R332" s="81"/>
      <c r="S332" s="81"/>
      <c r="T332" s="81"/>
      <c r="U332" s="81"/>
      <c r="V332" s="179"/>
      <c r="W332" s="140"/>
    </row>
    <row r="333" spans="1:23" ht="12.75">
      <c r="A333" s="200" t="s">
        <v>679</v>
      </c>
      <c r="B333" s="136">
        <f t="shared" ref="B333:U333" si="238">B52</f>
        <v>6.7499999999999999E-3</v>
      </c>
      <c r="C333" s="136">
        <f t="shared" si="238"/>
        <v>0</v>
      </c>
      <c r="D333" s="136">
        <f t="shared" si="238"/>
        <v>0</v>
      </c>
      <c r="E333" s="136">
        <f t="shared" si="238"/>
        <v>6.7499999999999999E-3</v>
      </c>
      <c r="F333" s="136">
        <f t="shared" si="238"/>
        <v>0</v>
      </c>
      <c r="G333" s="136">
        <f t="shared" si="238"/>
        <v>0</v>
      </c>
      <c r="H333" s="136">
        <f t="shared" si="238"/>
        <v>6.7499999999999999E-3</v>
      </c>
      <c r="I333" s="136">
        <f t="shared" si="238"/>
        <v>0</v>
      </c>
      <c r="J333" s="136">
        <f t="shared" si="238"/>
        <v>0</v>
      </c>
      <c r="K333" s="136">
        <f t="shared" si="238"/>
        <v>6.7499999999999999E-3</v>
      </c>
      <c r="L333" s="136">
        <f t="shared" si="238"/>
        <v>0</v>
      </c>
      <c r="M333" s="136">
        <f t="shared" si="238"/>
        <v>0</v>
      </c>
      <c r="N333" s="136">
        <f t="shared" si="238"/>
        <v>6.7499999999999999E-3</v>
      </c>
      <c r="O333" s="136">
        <f t="shared" si="238"/>
        <v>0</v>
      </c>
      <c r="P333" s="136">
        <f t="shared" si="238"/>
        <v>0</v>
      </c>
      <c r="Q333" s="136">
        <f t="shared" si="238"/>
        <v>6.7499999999999999E-3</v>
      </c>
      <c r="R333" s="136">
        <f t="shared" si="238"/>
        <v>0</v>
      </c>
      <c r="S333" s="136">
        <f t="shared" si="238"/>
        <v>0</v>
      </c>
      <c r="T333" s="136">
        <f t="shared" si="238"/>
        <v>6.7499999999999999E-3</v>
      </c>
      <c r="U333" s="136">
        <f t="shared" si="238"/>
        <v>0</v>
      </c>
      <c r="V333" s="180">
        <f>SUM(B333:U333)</f>
        <v>4.725E-2</v>
      </c>
      <c r="W333" s="53">
        <f>V333/20</f>
        <v>2.3625E-3</v>
      </c>
    </row>
    <row r="334" spans="1:23" ht="12.75">
      <c r="A334" s="200" t="s">
        <v>680</v>
      </c>
      <c r="B334" s="136">
        <f t="shared" ref="B334:U334" si="239">B65</f>
        <v>4.725E-3</v>
      </c>
      <c r="C334" s="136">
        <f t="shared" si="239"/>
        <v>4.725E-3</v>
      </c>
      <c r="D334" s="136">
        <f t="shared" si="239"/>
        <v>4.725E-3</v>
      </c>
      <c r="E334" s="136">
        <f t="shared" si="239"/>
        <v>4.725E-3</v>
      </c>
      <c r="F334" s="136">
        <f t="shared" si="239"/>
        <v>4.725E-3</v>
      </c>
      <c r="G334" s="136">
        <f t="shared" si="239"/>
        <v>4.725E-3</v>
      </c>
      <c r="H334" s="136">
        <f t="shared" si="239"/>
        <v>4.725E-3</v>
      </c>
      <c r="I334" s="136">
        <f t="shared" si="239"/>
        <v>4.725E-3</v>
      </c>
      <c r="J334" s="136">
        <f t="shared" si="239"/>
        <v>4.725E-3</v>
      </c>
      <c r="K334" s="136">
        <f t="shared" si="239"/>
        <v>4.725E-3</v>
      </c>
      <c r="L334" s="136">
        <f t="shared" si="239"/>
        <v>4.725E-3</v>
      </c>
      <c r="M334" s="136">
        <f t="shared" si="239"/>
        <v>4.725E-3</v>
      </c>
      <c r="N334" s="136">
        <f t="shared" si="239"/>
        <v>4.725E-3</v>
      </c>
      <c r="O334" s="136">
        <f t="shared" si="239"/>
        <v>4.725E-3</v>
      </c>
      <c r="P334" s="136">
        <f t="shared" si="239"/>
        <v>4.725E-3</v>
      </c>
      <c r="Q334" s="136">
        <f t="shared" si="239"/>
        <v>4.725E-3</v>
      </c>
      <c r="R334" s="136">
        <f t="shared" si="239"/>
        <v>4.725E-3</v>
      </c>
      <c r="S334" s="136">
        <f t="shared" si="239"/>
        <v>4.725E-3</v>
      </c>
      <c r="T334" s="136">
        <f t="shared" si="239"/>
        <v>4.725E-3</v>
      </c>
      <c r="U334" s="136">
        <f t="shared" si="239"/>
        <v>4.725E-3</v>
      </c>
      <c r="V334" s="180">
        <f t="shared" ref="V334:V335" si="240">SUM(B334:U334)</f>
        <v>9.4500000000000028E-2</v>
      </c>
      <c r="W334" s="53">
        <f t="shared" ref="W334:W335" si="241">V334/20</f>
        <v>4.7250000000000018E-3</v>
      </c>
    </row>
    <row r="335" spans="1:23" s="3" customFormat="1" ht="12.75">
      <c r="A335" s="49" t="s">
        <v>664</v>
      </c>
      <c r="B335" s="30">
        <f>SUM(B333:B334)</f>
        <v>1.1474999999999999E-2</v>
      </c>
      <c r="C335" s="30">
        <f t="shared" ref="C335:U335" si="242">SUM(C333:C334)</f>
        <v>4.725E-3</v>
      </c>
      <c r="D335" s="30">
        <f t="shared" si="242"/>
        <v>4.725E-3</v>
      </c>
      <c r="E335" s="30">
        <f t="shared" si="242"/>
        <v>1.1474999999999999E-2</v>
      </c>
      <c r="F335" s="30">
        <f t="shared" si="242"/>
        <v>4.725E-3</v>
      </c>
      <c r="G335" s="30">
        <f t="shared" si="242"/>
        <v>4.725E-3</v>
      </c>
      <c r="H335" s="30">
        <f t="shared" si="242"/>
        <v>1.1474999999999999E-2</v>
      </c>
      <c r="I335" s="30">
        <f t="shared" si="242"/>
        <v>4.725E-3</v>
      </c>
      <c r="J335" s="30">
        <f t="shared" si="242"/>
        <v>4.725E-3</v>
      </c>
      <c r="K335" s="30">
        <f t="shared" si="242"/>
        <v>1.1474999999999999E-2</v>
      </c>
      <c r="L335" s="30">
        <f t="shared" si="242"/>
        <v>4.725E-3</v>
      </c>
      <c r="M335" s="30">
        <f t="shared" si="242"/>
        <v>4.725E-3</v>
      </c>
      <c r="N335" s="30">
        <f t="shared" si="242"/>
        <v>1.1474999999999999E-2</v>
      </c>
      <c r="O335" s="30">
        <f t="shared" si="242"/>
        <v>4.725E-3</v>
      </c>
      <c r="P335" s="30">
        <f t="shared" si="242"/>
        <v>4.725E-3</v>
      </c>
      <c r="Q335" s="30">
        <f t="shared" si="242"/>
        <v>1.1474999999999999E-2</v>
      </c>
      <c r="R335" s="30">
        <f t="shared" si="242"/>
        <v>4.725E-3</v>
      </c>
      <c r="S335" s="30">
        <f t="shared" si="242"/>
        <v>4.725E-3</v>
      </c>
      <c r="T335" s="30">
        <f t="shared" si="242"/>
        <v>1.1474999999999999E-2</v>
      </c>
      <c r="U335" s="30">
        <f t="shared" si="242"/>
        <v>4.725E-3</v>
      </c>
      <c r="V335" s="180">
        <f t="shared" si="240"/>
        <v>0.14175000000000001</v>
      </c>
      <c r="W335" s="53">
        <f t="shared" si="241"/>
        <v>7.0875000000000009E-3</v>
      </c>
    </row>
    <row r="336" spans="1:23" ht="13.5" customHeight="1">
      <c r="A336" s="134" t="s">
        <v>123</v>
      </c>
      <c r="B336" s="52">
        <v>0.96618357487922713</v>
      </c>
      <c r="C336" s="52">
        <v>0.93351070036640305</v>
      </c>
      <c r="D336" s="52">
        <v>0.90194270566802237</v>
      </c>
      <c r="E336" s="52">
        <v>0.87144222769857238</v>
      </c>
      <c r="F336" s="52">
        <v>0.84197316685852419</v>
      </c>
      <c r="G336" s="52">
        <v>0.81350064430775282</v>
      </c>
      <c r="H336" s="52">
        <v>0.78599096068381913</v>
      </c>
      <c r="I336" s="52">
        <v>0.75941155621625056</v>
      </c>
      <c r="J336" s="52">
        <v>0.73373097218961414</v>
      </c>
      <c r="K336" s="52">
        <v>0.70891881370977217</v>
      </c>
      <c r="L336" s="52">
        <v>0.68494571372924851</v>
      </c>
      <c r="M336" s="52">
        <v>0.66178329828912896</v>
      </c>
      <c r="N336" s="52">
        <v>0.63940415293635666</v>
      </c>
      <c r="O336" s="52">
        <v>0.61778179027667302</v>
      </c>
      <c r="P336" s="52">
        <v>0.59689061862480497</v>
      </c>
      <c r="Q336" s="52">
        <v>0.57670591171478747</v>
      </c>
      <c r="R336" s="52">
        <v>0.55720377943457733</v>
      </c>
      <c r="S336" s="52">
        <v>0.53836113955031628</v>
      </c>
      <c r="T336" s="52">
        <v>0.52015569038677911</v>
      </c>
      <c r="U336" s="52">
        <v>0.50256588443167061</v>
      </c>
      <c r="V336" s="180"/>
      <c r="W336" s="133"/>
    </row>
    <row r="337" spans="1:25" s="81" customFormat="1" ht="12.75">
      <c r="A337" s="50" t="s">
        <v>1069</v>
      </c>
      <c r="B337" s="34">
        <f t="shared" ref="B337:U337" si="243">B336*B335</f>
        <v>1.108695652173913E-2</v>
      </c>
      <c r="C337" s="34">
        <f t="shared" si="243"/>
        <v>4.4108380592312547E-3</v>
      </c>
      <c r="D337" s="34">
        <f t="shared" si="243"/>
        <v>4.2616792842814057E-3</v>
      </c>
      <c r="E337" s="34">
        <f t="shared" si="243"/>
        <v>9.9997995628411177E-3</v>
      </c>
      <c r="F337" s="34">
        <f t="shared" si="243"/>
        <v>3.9783232134065266E-3</v>
      </c>
      <c r="G337" s="34">
        <f t="shared" si="243"/>
        <v>3.8437905443541322E-3</v>
      </c>
      <c r="H337" s="34">
        <f t="shared" si="243"/>
        <v>9.0192462738468236E-3</v>
      </c>
      <c r="I337" s="34">
        <f t="shared" si="243"/>
        <v>3.588219603121784E-3</v>
      </c>
      <c r="J337" s="34">
        <f t="shared" si="243"/>
        <v>3.4668788435959267E-3</v>
      </c>
      <c r="K337" s="34">
        <f t="shared" si="243"/>
        <v>8.1348433873196357E-3</v>
      </c>
      <c r="L337" s="34">
        <f t="shared" si="243"/>
        <v>3.2363684973706992E-3</v>
      </c>
      <c r="M337" s="34">
        <f t="shared" si="243"/>
        <v>3.1269260844161342E-3</v>
      </c>
      <c r="N337" s="34">
        <f t="shared" si="243"/>
        <v>7.3371626549446917E-3</v>
      </c>
      <c r="O337" s="34">
        <f t="shared" si="243"/>
        <v>2.91901895905728E-3</v>
      </c>
      <c r="P337" s="34">
        <f t="shared" si="243"/>
        <v>2.8203081730022034E-3</v>
      </c>
      <c r="Q337" s="34">
        <f t="shared" si="243"/>
        <v>6.6177003369271856E-3</v>
      </c>
      <c r="R337" s="34">
        <f t="shared" si="243"/>
        <v>2.6327878578283779E-3</v>
      </c>
      <c r="S337" s="34">
        <f t="shared" si="243"/>
        <v>2.5437563843752446E-3</v>
      </c>
      <c r="T337" s="34">
        <f t="shared" si="243"/>
        <v>5.9687865471882897E-3</v>
      </c>
      <c r="U337" s="34">
        <f t="shared" si="243"/>
        <v>2.3746238039396438E-3</v>
      </c>
      <c r="V337" s="182">
        <f>SUM(B337:U337)</f>
        <v>0.10136801459278746</v>
      </c>
      <c r="W337" s="35"/>
    </row>
    <row r="338" spans="1:25" s="81" customFormat="1" ht="12.75">
      <c r="A338" s="33"/>
      <c r="B338" s="34"/>
      <c r="C338" s="34"/>
      <c r="D338" s="34"/>
      <c r="E338" s="34"/>
      <c r="F338" s="34"/>
      <c r="G338" s="34"/>
      <c r="H338" s="34"/>
      <c r="I338" s="34"/>
      <c r="J338" s="34"/>
      <c r="K338" s="34"/>
      <c r="L338" s="34"/>
      <c r="M338" s="34"/>
      <c r="N338" s="34"/>
      <c r="O338" s="34"/>
      <c r="P338" s="34"/>
      <c r="Q338" s="34"/>
      <c r="R338" s="34"/>
      <c r="S338" s="34"/>
      <c r="T338" s="34"/>
      <c r="U338" s="34"/>
      <c r="V338" s="182"/>
      <c r="W338" s="35"/>
    </row>
    <row r="339" spans="1:25" ht="12.75">
      <c r="A339" s="44" t="s">
        <v>1003</v>
      </c>
      <c r="B339" s="81"/>
      <c r="C339" s="81"/>
      <c r="D339" s="81"/>
      <c r="E339" s="81"/>
      <c r="F339" s="81"/>
      <c r="G339" s="81"/>
      <c r="H339" s="81"/>
      <c r="I339" s="81"/>
      <c r="J339" s="81"/>
      <c r="K339" s="81"/>
      <c r="L339" s="81"/>
      <c r="M339" s="81"/>
      <c r="N339" s="81"/>
      <c r="O339" s="81"/>
      <c r="P339" s="81"/>
      <c r="Q339" s="81"/>
      <c r="R339" s="81"/>
      <c r="S339" s="81"/>
      <c r="T339" s="81"/>
      <c r="U339" s="81"/>
      <c r="V339" s="179"/>
      <c r="W339" s="140"/>
    </row>
    <row r="340" spans="1:25" ht="12.75">
      <c r="A340" s="200" t="s">
        <v>679</v>
      </c>
      <c r="B340" s="136">
        <f t="shared" ref="B340:U340" si="244">B53</f>
        <v>6.7499999999999999E-3</v>
      </c>
      <c r="C340" s="136">
        <f t="shared" si="244"/>
        <v>0</v>
      </c>
      <c r="D340" s="136">
        <f t="shared" si="244"/>
        <v>0</v>
      </c>
      <c r="E340" s="136">
        <f t="shared" si="244"/>
        <v>6.7499999999999999E-3</v>
      </c>
      <c r="F340" s="136">
        <f t="shared" si="244"/>
        <v>0</v>
      </c>
      <c r="G340" s="136">
        <f t="shared" si="244"/>
        <v>0</v>
      </c>
      <c r="H340" s="136">
        <f t="shared" si="244"/>
        <v>6.7499999999999999E-3</v>
      </c>
      <c r="I340" s="136">
        <f t="shared" si="244"/>
        <v>0</v>
      </c>
      <c r="J340" s="136">
        <f t="shared" si="244"/>
        <v>0</v>
      </c>
      <c r="K340" s="136">
        <f t="shared" si="244"/>
        <v>6.7499999999999999E-3</v>
      </c>
      <c r="L340" s="136">
        <f t="shared" si="244"/>
        <v>0</v>
      </c>
      <c r="M340" s="136">
        <f t="shared" si="244"/>
        <v>0</v>
      </c>
      <c r="N340" s="136">
        <f t="shared" si="244"/>
        <v>6.7499999999999999E-3</v>
      </c>
      <c r="O340" s="136">
        <f t="shared" si="244"/>
        <v>0</v>
      </c>
      <c r="P340" s="136">
        <f t="shared" si="244"/>
        <v>0</v>
      </c>
      <c r="Q340" s="136">
        <f t="shared" si="244"/>
        <v>6.7499999999999999E-3</v>
      </c>
      <c r="R340" s="136">
        <f t="shared" si="244"/>
        <v>0</v>
      </c>
      <c r="S340" s="136">
        <f t="shared" si="244"/>
        <v>0</v>
      </c>
      <c r="T340" s="136">
        <f t="shared" si="244"/>
        <v>6.7499999999999999E-3</v>
      </c>
      <c r="U340" s="136">
        <f t="shared" si="244"/>
        <v>0</v>
      </c>
      <c r="V340" s="180">
        <f>SUM(B340:U340)</f>
        <v>4.725E-2</v>
      </c>
      <c r="W340" s="53">
        <f>V340/20</f>
        <v>2.3625E-3</v>
      </c>
      <c r="Y340" s="175"/>
    </row>
    <row r="341" spans="1:25" ht="12.75">
      <c r="A341" s="200" t="s">
        <v>680</v>
      </c>
      <c r="B341" s="136">
        <f t="shared" ref="B341:U341" si="245">B62+B73</f>
        <v>4.3299999999999998E-2</v>
      </c>
      <c r="C341" s="136">
        <f t="shared" si="245"/>
        <v>4.3299999999999998E-2</v>
      </c>
      <c r="D341" s="136">
        <f t="shared" si="245"/>
        <v>4.3299999999999998E-2</v>
      </c>
      <c r="E341" s="136">
        <f t="shared" si="245"/>
        <v>4.3299999999999998E-2</v>
      </c>
      <c r="F341" s="136">
        <f t="shared" si="245"/>
        <v>4.3299999999999998E-2</v>
      </c>
      <c r="G341" s="136">
        <f t="shared" si="245"/>
        <v>4.3299999999999998E-2</v>
      </c>
      <c r="H341" s="136">
        <f t="shared" si="245"/>
        <v>4.3299999999999998E-2</v>
      </c>
      <c r="I341" s="136">
        <f t="shared" si="245"/>
        <v>4.3299999999999998E-2</v>
      </c>
      <c r="J341" s="136">
        <f t="shared" si="245"/>
        <v>4.3299999999999998E-2</v>
      </c>
      <c r="K341" s="136">
        <f t="shared" si="245"/>
        <v>4.3299999999999998E-2</v>
      </c>
      <c r="L341" s="136">
        <f t="shared" si="245"/>
        <v>4.3299999999999998E-2</v>
      </c>
      <c r="M341" s="136">
        <f t="shared" si="245"/>
        <v>4.3299999999999998E-2</v>
      </c>
      <c r="N341" s="136">
        <f t="shared" si="245"/>
        <v>4.3299999999999998E-2</v>
      </c>
      <c r="O341" s="136">
        <f t="shared" si="245"/>
        <v>4.3299999999999998E-2</v>
      </c>
      <c r="P341" s="136">
        <f t="shared" si="245"/>
        <v>4.3299999999999998E-2</v>
      </c>
      <c r="Q341" s="136">
        <f t="shared" si="245"/>
        <v>4.3299999999999998E-2</v>
      </c>
      <c r="R341" s="136">
        <f t="shared" si="245"/>
        <v>4.3299999999999998E-2</v>
      </c>
      <c r="S341" s="136">
        <f t="shared" si="245"/>
        <v>4.3299999999999998E-2</v>
      </c>
      <c r="T341" s="136">
        <f t="shared" si="245"/>
        <v>4.3299999999999998E-2</v>
      </c>
      <c r="U341" s="136">
        <f t="shared" si="245"/>
        <v>4.3299999999999998E-2</v>
      </c>
      <c r="V341" s="180">
        <f t="shared" ref="V341:V342" si="246">SUM(B341:U341)</f>
        <v>0.86599999999999999</v>
      </c>
      <c r="W341" s="53">
        <f t="shared" ref="W341:W342" si="247">V341/20</f>
        <v>4.3299999999999998E-2</v>
      </c>
      <c r="Y341" s="175"/>
    </row>
    <row r="342" spans="1:25" s="3" customFormat="1" ht="12.75">
      <c r="A342" s="49" t="s">
        <v>664</v>
      </c>
      <c r="B342" s="30">
        <f>SUM(B340:B341)</f>
        <v>5.0049999999999997E-2</v>
      </c>
      <c r="C342" s="30">
        <f t="shared" ref="C342:U342" si="248">SUM(C340:C341)</f>
        <v>4.3299999999999998E-2</v>
      </c>
      <c r="D342" s="30">
        <f t="shared" si="248"/>
        <v>4.3299999999999998E-2</v>
      </c>
      <c r="E342" s="30">
        <f t="shared" si="248"/>
        <v>5.0049999999999997E-2</v>
      </c>
      <c r="F342" s="30">
        <f t="shared" si="248"/>
        <v>4.3299999999999998E-2</v>
      </c>
      <c r="G342" s="30">
        <f t="shared" si="248"/>
        <v>4.3299999999999998E-2</v>
      </c>
      <c r="H342" s="30">
        <f t="shared" si="248"/>
        <v>5.0049999999999997E-2</v>
      </c>
      <c r="I342" s="30">
        <f t="shared" si="248"/>
        <v>4.3299999999999998E-2</v>
      </c>
      <c r="J342" s="30">
        <f t="shared" si="248"/>
        <v>4.3299999999999998E-2</v>
      </c>
      <c r="K342" s="30">
        <f t="shared" si="248"/>
        <v>5.0049999999999997E-2</v>
      </c>
      <c r="L342" s="30">
        <f t="shared" si="248"/>
        <v>4.3299999999999998E-2</v>
      </c>
      <c r="M342" s="30">
        <f t="shared" si="248"/>
        <v>4.3299999999999998E-2</v>
      </c>
      <c r="N342" s="30">
        <f t="shared" si="248"/>
        <v>5.0049999999999997E-2</v>
      </c>
      <c r="O342" s="30">
        <f t="shared" si="248"/>
        <v>4.3299999999999998E-2</v>
      </c>
      <c r="P342" s="30">
        <f t="shared" si="248"/>
        <v>4.3299999999999998E-2</v>
      </c>
      <c r="Q342" s="30">
        <f t="shared" si="248"/>
        <v>5.0049999999999997E-2</v>
      </c>
      <c r="R342" s="30">
        <f t="shared" si="248"/>
        <v>4.3299999999999998E-2</v>
      </c>
      <c r="S342" s="30">
        <f t="shared" si="248"/>
        <v>4.3299999999999998E-2</v>
      </c>
      <c r="T342" s="30">
        <f t="shared" si="248"/>
        <v>5.0049999999999997E-2</v>
      </c>
      <c r="U342" s="30">
        <f t="shared" si="248"/>
        <v>4.3299999999999998E-2</v>
      </c>
      <c r="V342" s="180">
        <f t="shared" si="246"/>
        <v>0.91325000000000012</v>
      </c>
      <c r="W342" s="53">
        <f t="shared" si="247"/>
        <v>4.5662500000000009E-2</v>
      </c>
    </row>
    <row r="343" spans="1:25" ht="13.5" customHeight="1">
      <c r="A343" s="134" t="s">
        <v>123</v>
      </c>
      <c r="B343" s="52">
        <v>0.96618357487922713</v>
      </c>
      <c r="C343" s="52">
        <v>0.93351070036640305</v>
      </c>
      <c r="D343" s="52">
        <v>0.90194270566802237</v>
      </c>
      <c r="E343" s="52">
        <v>0.87144222769857238</v>
      </c>
      <c r="F343" s="52">
        <v>0.84197316685852419</v>
      </c>
      <c r="G343" s="52">
        <v>0.81350064430775282</v>
      </c>
      <c r="H343" s="52">
        <v>0.78599096068381913</v>
      </c>
      <c r="I343" s="52">
        <v>0.75941155621625056</v>
      </c>
      <c r="J343" s="52">
        <v>0.73373097218961414</v>
      </c>
      <c r="K343" s="52">
        <v>0.70891881370977217</v>
      </c>
      <c r="L343" s="52">
        <v>0.68494571372924851</v>
      </c>
      <c r="M343" s="52">
        <v>0.66178329828912896</v>
      </c>
      <c r="N343" s="52">
        <v>0.63940415293635666</v>
      </c>
      <c r="O343" s="52">
        <v>0.61778179027667302</v>
      </c>
      <c r="P343" s="52">
        <v>0.59689061862480497</v>
      </c>
      <c r="Q343" s="52">
        <v>0.57670591171478747</v>
      </c>
      <c r="R343" s="52">
        <v>0.55720377943457733</v>
      </c>
      <c r="S343" s="52">
        <v>0.53836113955031628</v>
      </c>
      <c r="T343" s="52">
        <v>0.52015569038677911</v>
      </c>
      <c r="U343" s="52">
        <v>0.50256588443167061</v>
      </c>
      <c r="V343" s="180"/>
      <c r="W343" s="133"/>
    </row>
    <row r="344" spans="1:25" s="81" customFormat="1" ht="12.75">
      <c r="A344" s="50" t="s">
        <v>1069</v>
      </c>
      <c r="B344" s="34">
        <f t="shared" ref="B344:U344" si="249">B343*B342</f>
        <v>4.8357487922705313E-2</v>
      </c>
      <c r="C344" s="34">
        <f t="shared" si="249"/>
        <v>4.042101332586525E-2</v>
      </c>
      <c r="D344" s="34">
        <f t="shared" si="249"/>
        <v>3.9054119155425365E-2</v>
      </c>
      <c r="E344" s="34">
        <f t="shared" si="249"/>
        <v>4.3615683496313548E-2</v>
      </c>
      <c r="F344" s="34">
        <f t="shared" si="249"/>
        <v>3.6457438124974095E-2</v>
      </c>
      <c r="G344" s="34">
        <f t="shared" si="249"/>
        <v>3.5224577898525698E-2</v>
      </c>
      <c r="H344" s="34">
        <f t="shared" si="249"/>
        <v>3.9338847582225146E-2</v>
      </c>
      <c r="I344" s="34">
        <f t="shared" si="249"/>
        <v>3.2882520384163651E-2</v>
      </c>
      <c r="J344" s="34">
        <f t="shared" si="249"/>
        <v>3.1770551095810291E-2</v>
      </c>
      <c r="K344" s="34">
        <f t="shared" si="249"/>
        <v>3.5481386626174095E-2</v>
      </c>
      <c r="L344" s="34">
        <f t="shared" si="249"/>
        <v>2.9658149404476458E-2</v>
      </c>
      <c r="M344" s="34">
        <f t="shared" si="249"/>
        <v>2.8655216815919284E-2</v>
      </c>
      <c r="N344" s="34">
        <f t="shared" si="249"/>
        <v>3.2002177854464652E-2</v>
      </c>
      <c r="O344" s="34">
        <f t="shared" si="249"/>
        <v>2.674995151897994E-2</v>
      </c>
      <c r="P344" s="34">
        <f t="shared" si="249"/>
        <v>2.5845363786454054E-2</v>
      </c>
      <c r="Q344" s="34">
        <f t="shared" si="249"/>
        <v>2.8864130881325112E-2</v>
      </c>
      <c r="R344" s="34">
        <f t="shared" si="249"/>
        <v>2.4126923649517198E-2</v>
      </c>
      <c r="S344" s="34">
        <f t="shared" si="249"/>
        <v>2.3311037342528693E-2</v>
      </c>
      <c r="T344" s="34">
        <f t="shared" si="249"/>
        <v>2.6033792303858293E-2</v>
      </c>
      <c r="U344" s="34">
        <f t="shared" si="249"/>
        <v>2.1761102795891336E-2</v>
      </c>
      <c r="V344" s="182">
        <f>SUM(B344:U344)</f>
        <v>0.64961147196559754</v>
      </c>
      <c r="W344" s="35"/>
    </row>
    <row r="345" spans="1:25" s="81" customFormat="1" ht="12.75">
      <c r="A345" s="33"/>
      <c r="B345" s="34"/>
      <c r="C345" s="34"/>
      <c r="D345" s="34"/>
      <c r="E345" s="34"/>
      <c r="F345" s="34"/>
      <c r="G345" s="34"/>
      <c r="H345" s="34"/>
      <c r="I345" s="34"/>
      <c r="J345" s="34"/>
      <c r="K345" s="34"/>
      <c r="L345" s="34"/>
      <c r="M345" s="34"/>
      <c r="N345" s="34"/>
      <c r="O345" s="34"/>
      <c r="P345" s="34"/>
      <c r="Q345" s="34"/>
      <c r="R345" s="34"/>
      <c r="S345" s="34"/>
      <c r="T345" s="34"/>
      <c r="U345" s="34"/>
      <c r="V345" s="182"/>
      <c r="W345" s="35"/>
    </row>
    <row r="346" spans="1:25" ht="12.75">
      <c r="A346" s="44" t="s">
        <v>1004</v>
      </c>
      <c r="B346" s="81"/>
      <c r="C346" s="81"/>
      <c r="D346" s="81"/>
      <c r="E346" s="81"/>
      <c r="F346" s="81"/>
      <c r="G346" s="81"/>
      <c r="H346" s="81"/>
      <c r="I346" s="81"/>
      <c r="J346" s="81"/>
      <c r="K346" s="81"/>
      <c r="L346" s="81"/>
      <c r="M346" s="81"/>
      <c r="N346" s="81"/>
      <c r="O346" s="81"/>
      <c r="P346" s="81"/>
      <c r="Q346" s="81"/>
      <c r="R346" s="81"/>
      <c r="S346" s="81"/>
      <c r="T346" s="81"/>
      <c r="U346" s="81"/>
      <c r="V346" s="179"/>
      <c r="W346" s="140"/>
    </row>
    <row r="347" spans="1:25" ht="12.75">
      <c r="A347" s="200" t="s">
        <v>679</v>
      </c>
      <c r="B347" s="136">
        <f t="shared" ref="B347:U347" si="250">B54</f>
        <v>6.7499999999999999E-3</v>
      </c>
      <c r="C347" s="136">
        <f t="shared" si="250"/>
        <v>0</v>
      </c>
      <c r="D347" s="136">
        <f t="shared" si="250"/>
        <v>0</v>
      </c>
      <c r="E347" s="136">
        <f t="shared" si="250"/>
        <v>6.7499999999999999E-3</v>
      </c>
      <c r="F347" s="136">
        <f t="shared" si="250"/>
        <v>0</v>
      </c>
      <c r="G347" s="136">
        <f t="shared" si="250"/>
        <v>0</v>
      </c>
      <c r="H347" s="136">
        <f t="shared" si="250"/>
        <v>6.7499999999999999E-3</v>
      </c>
      <c r="I347" s="136">
        <f t="shared" si="250"/>
        <v>0</v>
      </c>
      <c r="J347" s="136">
        <f t="shared" si="250"/>
        <v>0</v>
      </c>
      <c r="K347" s="136">
        <f t="shared" si="250"/>
        <v>6.7499999999999999E-3</v>
      </c>
      <c r="L347" s="136">
        <f t="shared" si="250"/>
        <v>0</v>
      </c>
      <c r="M347" s="136">
        <f t="shared" si="250"/>
        <v>0</v>
      </c>
      <c r="N347" s="136">
        <f t="shared" si="250"/>
        <v>6.7499999999999999E-3</v>
      </c>
      <c r="O347" s="136">
        <f t="shared" si="250"/>
        <v>0</v>
      </c>
      <c r="P347" s="136">
        <f t="shared" si="250"/>
        <v>0</v>
      </c>
      <c r="Q347" s="136">
        <f t="shared" si="250"/>
        <v>6.7499999999999999E-3</v>
      </c>
      <c r="R347" s="136">
        <f t="shared" si="250"/>
        <v>0</v>
      </c>
      <c r="S347" s="136">
        <f t="shared" si="250"/>
        <v>0</v>
      </c>
      <c r="T347" s="136">
        <f t="shared" si="250"/>
        <v>6.7499999999999999E-3</v>
      </c>
      <c r="U347" s="136">
        <f t="shared" si="250"/>
        <v>0</v>
      </c>
      <c r="V347" s="180">
        <f>SUM(B347:U347)</f>
        <v>4.725E-2</v>
      </c>
      <c r="W347" s="53">
        <f>V347/20</f>
        <v>2.3625E-3</v>
      </c>
    </row>
    <row r="348" spans="1:25" ht="12.75">
      <c r="A348" s="200" t="s">
        <v>680</v>
      </c>
      <c r="B348" s="136">
        <f t="shared" ref="B348:U348" si="251">B63</f>
        <v>9.4500000000000001E-3</v>
      </c>
      <c r="C348" s="136">
        <f t="shared" si="251"/>
        <v>9.4500000000000001E-3</v>
      </c>
      <c r="D348" s="136">
        <f t="shared" si="251"/>
        <v>9.4500000000000001E-3</v>
      </c>
      <c r="E348" s="136">
        <f t="shared" si="251"/>
        <v>9.4500000000000001E-3</v>
      </c>
      <c r="F348" s="136">
        <f t="shared" si="251"/>
        <v>9.4500000000000001E-3</v>
      </c>
      <c r="G348" s="136">
        <f t="shared" si="251"/>
        <v>9.4500000000000001E-3</v>
      </c>
      <c r="H348" s="136">
        <f t="shared" si="251"/>
        <v>9.4500000000000001E-3</v>
      </c>
      <c r="I348" s="136">
        <f t="shared" si="251"/>
        <v>9.4500000000000001E-3</v>
      </c>
      <c r="J348" s="136">
        <f t="shared" si="251"/>
        <v>9.4500000000000001E-3</v>
      </c>
      <c r="K348" s="136">
        <f t="shared" si="251"/>
        <v>9.4500000000000001E-3</v>
      </c>
      <c r="L348" s="136">
        <f t="shared" si="251"/>
        <v>9.4500000000000001E-3</v>
      </c>
      <c r="M348" s="136">
        <f t="shared" si="251"/>
        <v>9.4500000000000001E-3</v>
      </c>
      <c r="N348" s="136">
        <f t="shared" si="251"/>
        <v>9.4500000000000001E-3</v>
      </c>
      <c r="O348" s="136">
        <f t="shared" si="251"/>
        <v>9.4500000000000001E-3</v>
      </c>
      <c r="P348" s="136">
        <f t="shared" si="251"/>
        <v>9.4500000000000001E-3</v>
      </c>
      <c r="Q348" s="136">
        <f t="shared" si="251"/>
        <v>9.4500000000000001E-3</v>
      </c>
      <c r="R348" s="136">
        <f t="shared" si="251"/>
        <v>9.4500000000000001E-3</v>
      </c>
      <c r="S348" s="136">
        <f t="shared" si="251"/>
        <v>9.4500000000000001E-3</v>
      </c>
      <c r="T348" s="136">
        <f t="shared" si="251"/>
        <v>9.4500000000000001E-3</v>
      </c>
      <c r="U348" s="136">
        <f t="shared" si="251"/>
        <v>9.4500000000000001E-3</v>
      </c>
      <c r="V348" s="180">
        <f t="shared" ref="V348:V349" si="252">SUM(B348:U348)</f>
        <v>0.18900000000000006</v>
      </c>
      <c r="W348" s="53">
        <f t="shared" ref="W348:W349" si="253">V348/20</f>
        <v>9.4500000000000035E-3</v>
      </c>
    </row>
    <row r="349" spans="1:25" s="3" customFormat="1" ht="12.75">
      <c r="A349" s="49" t="s">
        <v>664</v>
      </c>
      <c r="B349" s="30">
        <f>SUM(B347:B348)</f>
        <v>1.6199999999999999E-2</v>
      </c>
      <c r="C349" s="30">
        <f t="shared" ref="C349:U349" si="254">SUM(C347:C348)</f>
        <v>9.4500000000000001E-3</v>
      </c>
      <c r="D349" s="30">
        <f t="shared" si="254"/>
        <v>9.4500000000000001E-3</v>
      </c>
      <c r="E349" s="30">
        <f t="shared" si="254"/>
        <v>1.6199999999999999E-2</v>
      </c>
      <c r="F349" s="30">
        <f t="shared" si="254"/>
        <v>9.4500000000000001E-3</v>
      </c>
      <c r="G349" s="30">
        <f t="shared" si="254"/>
        <v>9.4500000000000001E-3</v>
      </c>
      <c r="H349" s="30">
        <f t="shared" si="254"/>
        <v>1.6199999999999999E-2</v>
      </c>
      <c r="I349" s="30">
        <f t="shared" si="254"/>
        <v>9.4500000000000001E-3</v>
      </c>
      <c r="J349" s="30">
        <f t="shared" si="254"/>
        <v>9.4500000000000001E-3</v>
      </c>
      <c r="K349" s="30">
        <f t="shared" si="254"/>
        <v>1.6199999999999999E-2</v>
      </c>
      <c r="L349" s="30">
        <f t="shared" si="254"/>
        <v>9.4500000000000001E-3</v>
      </c>
      <c r="M349" s="30">
        <f t="shared" si="254"/>
        <v>9.4500000000000001E-3</v>
      </c>
      <c r="N349" s="30">
        <f t="shared" si="254"/>
        <v>1.6199999999999999E-2</v>
      </c>
      <c r="O349" s="30">
        <f t="shared" si="254"/>
        <v>9.4500000000000001E-3</v>
      </c>
      <c r="P349" s="30">
        <f t="shared" si="254"/>
        <v>9.4500000000000001E-3</v>
      </c>
      <c r="Q349" s="30">
        <f t="shared" si="254"/>
        <v>1.6199999999999999E-2</v>
      </c>
      <c r="R349" s="30">
        <f t="shared" si="254"/>
        <v>9.4500000000000001E-3</v>
      </c>
      <c r="S349" s="30">
        <f t="shared" si="254"/>
        <v>9.4500000000000001E-3</v>
      </c>
      <c r="T349" s="30">
        <f t="shared" si="254"/>
        <v>1.6199999999999999E-2</v>
      </c>
      <c r="U349" s="30">
        <f t="shared" si="254"/>
        <v>9.4500000000000001E-3</v>
      </c>
      <c r="V349" s="180">
        <f t="shared" si="252"/>
        <v>0.23625000000000007</v>
      </c>
      <c r="W349" s="53">
        <f t="shared" si="253"/>
        <v>1.1812500000000004E-2</v>
      </c>
    </row>
    <row r="350" spans="1:25" ht="13.5" customHeight="1">
      <c r="A350" s="134" t="s">
        <v>123</v>
      </c>
      <c r="B350" s="52">
        <v>0.96618357487922713</v>
      </c>
      <c r="C350" s="52">
        <v>0.93351070036640305</v>
      </c>
      <c r="D350" s="52">
        <v>0.90194270566802237</v>
      </c>
      <c r="E350" s="52">
        <v>0.87144222769857238</v>
      </c>
      <c r="F350" s="52">
        <v>0.84197316685852419</v>
      </c>
      <c r="G350" s="52">
        <v>0.81350064430775282</v>
      </c>
      <c r="H350" s="52">
        <v>0.78599096068381913</v>
      </c>
      <c r="I350" s="52">
        <v>0.75941155621625056</v>
      </c>
      <c r="J350" s="52">
        <v>0.73373097218961414</v>
      </c>
      <c r="K350" s="52">
        <v>0.70891881370977217</v>
      </c>
      <c r="L350" s="52">
        <v>0.68494571372924851</v>
      </c>
      <c r="M350" s="52">
        <v>0.66178329828912896</v>
      </c>
      <c r="N350" s="52">
        <v>0.63940415293635666</v>
      </c>
      <c r="O350" s="52">
        <v>0.61778179027667302</v>
      </c>
      <c r="P350" s="52">
        <v>0.59689061862480497</v>
      </c>
      <c r="Q350" s="52">
        <v>0.57670591171478747</v>
      </c>
      <c r="R350" s="52">
        <v>0.55720377943457733</v>
      </c>
      <c r="S350" s="52">
        <v>0.53836113955031628</v>
      </c>
      <c r="T350" s="52">
        <v>0.52015569038677911</v>
      </c>
      <c r="U350" s="52">
        <v>0.50256588443167061</v>
      </c>
      <c r="V350" s="180"/>
      <c r="W350" s="133"/>
    </row>
    <row r="351" spans="1:25" s="81" customFormat="1" ht="12.75">
      <c r="A351" s="50" t="s">
        <v>1069</v>
      </c>
      <c r="B351" s="34">
        <f t="shared" ref="B351:U351" si="255">B350*B349</f>
        <v>1.5652173913043479E-2</v>
      </c>
      <c r="C351" s="34">
        <f t="shared" si="255"/>
        <v>8.8216761184625094E-3</v>
      </c>
      <c r="D351" s="34">
        <f t="shared" si="255"/>
        <v>8.5233585685628114E-3</v>
      </c>
      <c r="E351" s="34">
        <f t="shared" si="255"/>
        <v>1.4117364088716871E-2</v>
      </c>
      <c r="F351" s="34">
        <f t="shared" si="255"/>
        <v>7.9566464268130532E-3</v>
      </c>
      <c r="G351" s="34">
        <f t="shared" si="255"/>
        <v>7.6875810887082644E-3</v>
      </c>
      <c r="H351" s="34">
        <f t="shared" si="255"/>
        <v>1.2733053563077868E-2</v>
      </c>
      <c r="I351" s="34">
        <f t="shared" si="255"/>
        <v>7.176439206243568E-3</v>
      </c>
      <c r="J351" s="34">
        <f t="shared" si="255"/>
        <v>6.9337576871918534E-3</v>
      </c>
      <c r="K351" s="34">
        <f t="shared" si="255"/>
        <v>1.1484484782098308E-2</v>
      </c>
      <c r="L351" s="34">
        <f t="shared" si="255"/>
        <v>6.4727369947413984E-3</v>
      </c>
      <c r="M351" s="34">
        <f t="shared" si="255"/>
        <v>6.2538521688322683E-3</v>
      </c>
      <c r="N351" s="34">
        <f t="shared" si="255"/>
        <v>1.0358347277568977E-2</v>
      </c>
      <c r="O351" s="34">
        <f t="shared" si="255"/>
        <v>5.83803791811456E-3</v>
      </c>
      <c r="P351" s="34">
        <f t="shared" si="255"/>
        <v>5.6406163460044068E-3</v>
      </c>
      <c r="Q351" s="34">
        <f t="shared" si="255"/>
        <v>9.3426357697795562E-3</v>
      </c>
      <c r="R351" s="34">
        <f t="shared" si="255"/>
        <v>5.2655757156567558E-3</v>
      </c>
      <c r="S351" s="34">
        <f t="shared" si="255"/>
        <v>5.0875127687504892E-3</v>
      </c>
      <c r="T351" s="34">
        <f t="shared" si="255"/>
        <v>8.4265221842658219E-3</v>
      </c>
      <c r="U351" s="34">
        <f t="shared" si="255"/>
        <v>4.7492476078792875E-3</v>
      </c>
      <c r="V351" s="182">
        <f>SUM(B351:U351)</f>
        <v>0.16852162019451211</v>
      </c>
      <c r="W351" s="35"/>
    </row>
    <row r="352" spans="1:25" s="81" customFormat="1" ht="12.75">
      <c r="A352" s="33"/>
      <c r="B352" s="34"/>
      <c r="C352" s="34"/>
      <c r="D352" s="34"/>
      <c r="E352" s="34"/>
      <c r="F352" s="34"/>
      <c r="G352" s="34"/>
      <c r="H352" s="34"/>
      <c r="I352" s="34"/>
      <c r="J352" s="34"/>
      <c r="K352" s="34"/>
      <c r="L352" s="34"/>
      <c r="M352" s="34"/>
      <c r="N352" s="34"/>
      <c r="O352" s="34"/>
      <c r="P352" s="34"/>
      <c r="Q352" s="34"/>
      <c r="R352" s="34"/>
      <c r="S352" s="34"/>
      <c r="T352" s="34"/>
      <c r="U352" s="34"/>
      <c r="V352" s="182"/>
      <c r="W352" s="35"/>
    </row>
    <row r="353" spans="1:25" ht="12.75">
      <c r="A353" s="45" t="s">
        <v>1006</v>
      </c>
      <c r="B353" s="81"/>
      <c r="C353" s="81"/>
      <c r="D353" s="81"/>
      <c r="E353" s="81"/>
      <c r="F353" s="81"/>
      <c r="G353" s="81"/>
      <c r="H353" s="81"/>
      <c r="I353" s="81"/>
      <c r="J353" s="81"/>
      <c r="K353" s="81"/>
      <c r="L353" s="81"/>
      <c r="M353" s="81"/>
      <c r="N353" s="81"/>
      <c r="O353" s="81"/>
      <c r="P353" s="81"/>
      <c r="Q353" s="81"/>
      <c r="R353" s="81"/>
      <c r="S353" s="81"/>
      <c r="T353" s="81"/>
      <c r="U353" s="81"/>
      <c r="V353" s="179"/>
      <c r="W353" s="140"/>
    </row>
    <row r="354" spans="1:25" ht="12.75">
      <c r="A354" s="200" t="s">
        <v>679</v>
      </c>
      <c r="B354" s="136">
        <f t="shared" ref="B354:U354" si="256">B55</f>
        <v>6.7499999999999999E-3</v>
      </c>
      <c r="C354" s="136">
        <f t="shared" si="256"/>
        <v>0</v>
      </c>
      <c r="D354" s="136">
        <f t="shared" si="256"/>
        <v>0</v>
      </c>
      <c r="E354" s="136">
        <f t="shared" si="256"/>
        <v>6.7499999999999999E-3</v>
      </c>
      <c r="F354" s="136">
        <f t="shared" si="256"/>
        <v>0</v>
      </c>
      <c r="G354" s="136">
        <f t="shared" si="256"/>
        <v>0</v>
      </c>
      <c r="H354" s="136">
        <f t="shared" si="256"/>
        <v>6.7499999999999999E-3</v>
      </c>
      <c r="I354" s="136">
        <f t="shared" si="256"/>
        <v>0</v>
      </c>
      <c r="J354" s="136">
        <f t="shared" si="256"/>
        <v>0</v>
      </c>
      <c r="K354" s="136">
        <f t="shared" si="256"/>
        <v>6.7499999999999999E-3</v>
      </c>
      <c r="L354" s="136">
        <f t="shared" si="256"/>
        <v>0</v>
      </c>
      <c r="M354" s="136">
        <f t="shared" si="256"/>
        <v>0</v>
      </c>
      <c r="N354" s="136">
        <f t="shared" si="256"/>
        <v>6.7499999999999999E-3</v>
      </c>
      <c r="O354" s="136">
        <f t="shared" si="256"/>
        <v>0</v>
      </c>
      <c r="P354" s="136">
        <f t="shared" si="256"/>
        <v>0</v>
      </c>
      <c r="Q354" s="136">
        <f t="shared" si="256"/>
        <v>6.7499999999999999E-3</v>
      </c>
      <c r="R354" s="136">
        <f t="shared" si="256"/>
        <v>0</v>
      </c>
      <c r="S354" s="136">
        <f t="shared" si="256"/>
        <v>0</v>
      </c>
      <c r="T354" s="136">
        <f t="shared" si="256"/>
        <v>6.7499999999999999E-3</v>
      </c>
      <c r="U354" s="136">
        <f t="shared" si="256"/>
        <v>0</v>
      </c>
      <c r="V354" s="180">
        <f>SUM(B354:U354)</f>
        <v>4.725E-2</v>
      </c>
      <c r="W354" s="53">
        <f>V354/20</f>
        <v>2.3625E-3</v>
      </c>
    </row>
    <row r="355" spans="1:25" ht="12.75">
      <c r="A355" s="200" t="s">
        <v>680</v>
      </c>
      <c r="B355" s="136">
        <f>B67</f>
        <v>1.3500000000000001E-3</v>
      </c>
      <c r="C355" s="136">
        <f t="shared" ref="C355:U355" si="257">C67</f>
        <v>1.3500000000000001E-3</v>
      </c>
      <c r="D355" s="136">
        <f t="shared" si="257"/>
        <v>1.3500000000000001E-3</v>
      </c>
      <c r="E355" s="136">
        <f t="shared" si="257"/>
        <v>1.3500000000000001E-3</v>
      </c>
      <c r="F355" s="136">
        <f t="shared" si="257"/>
        <v>1.3500000000000001E-3</v>
      </c>
      <c r="G355" s="136">
        <f t="shared" si="257"/>
        <v>1.3500000000000001E-3</v>
      </c>
      <c r="H355" s="136">
        <f t="shared" si="257"/>
        <v>1.3500000000000001E-3</v>
      </c>
      <c r="I355" s="136">
        <f t="shared" si="257"/>
        <v>1.3500000000000001E-3</v>
      </c>
      <c r="J355" s="136">
        <f t="shared" si="257"/>
        <v>1.3500000000000001E-3</v>
      </c>
      <c r="K355" s="136">
        <f t="shared" si="257"/>
        <v>1.3500000000000001E-3</v>
      </c>
      <c r="L355" s="136">
        <f t="shared" si="257"/>
        <v>1.3500000000000001E-3</v>
      </c>
      <c r="M355" s="136">
        <f t="shared" si="257"/>
        <v>1.3500000000000001E-3</v>
      </c>
      <c r="N355" s="136">
        <f t="shared" si="257"/>
        <v>1.3500000000000001E-3</v>
      </c>
      <c r="O355" s="136">
        <f t="shared" si="257"/>
        <v>1.3500000000000001E-3</v>
      </c>
      <c r="P355" s="136">
        <f t="shared" si="257"/>
        <v>1.3500000000000001E-3</v>
      </c>
      <c r="Q355" s="136">
        <f t="shared" si="257"/>
        <v>1.3500000000000001E-3</v>
      </c>
      <c r="R355" s="136">
        <f t="shared" si="257"/>
        <v>1.3500000000000001E-3</v>
      </c>
      <c r="S355" s="136">
        <f t="shared" si="257"/>
        <v>1.3500000000000001E-3</v>
      </c>
      <c r="T355" s="136">
        <f t="shared" si="257"/>
        <v>1.3500000000000001E-3</v>
      </c>
      <c r="U355" s="136">
        <f t="shared" si="257"/>
        <v>1.3500000000000001E-3</v>
      </c>
      <c r="V355" s="180">
        <f t="shared" ref="V355:V356" si="258">SUM(B355:U355)</f>
        <v>2.7000000000000007E-2</v>
      </c>
      <c r="W355" s="53">
        <f t="shared" ref="W355:W356" si="259">V355/20</f>
        <v>1.3500000000000003E-3</v>
      </c>
    </row>
    <row r="356" spans="1:25" s="3" customFormat="1" ht="12.75">
      <c r="A356" s="49" t="s">
        <v>664</v>
      </c>
      <c r="B356" s="30">
        <f>SUM(B354:B355)</f>
        <v>8.0999999999999996E-3</v>
      </c>
      <c r="C356" s="30">
        <f t="shared" ref="C356:U356" si="260">SUM(C354:C355)</f>
        <v>1.3500000000000001E-3</v>
      </c>
      <c r="D356" s="30">
        <f t="shared" si="260"/>
        <v>1.3500000000000001E-3</v>
      </c>
      <c r="E356" s="30">
        <f t="shared" si="260"/>
        <v>8.0999999999999996E-3</v>
      </c>
      <c r="F356" s="30">
        <f t="shared" si="260"/>
        <v>1.3500000000000001E-3</v>
      </c>
      <c r="G356" s="30">
        <f t="shared" si="260"/>
        <v>1.3500000000000001E-3</v>
      </c>
      <c r="H356" s="30">
        <f t="shared" si="260"/>
        <v>8.0999999999999996E-3</v>
      </c>
      <c r="I356" s="30">
        <f t="shared" si="260"/>
        <v>1.3500000000000001E-3</v>
      </c>
      <c r="J356" s="30">
        <f t="shared" si="260"/>
        <v>1.3500000000000001E-3</v>
      </c>
      <c r="K356" s="30">
        <f t="shared" si="260"/>
        <v>8.0999999999999996E-3</v>
      </c>
      <c r="L356" s="30">
        <f t="shared" si="260"/>
        <v>1.3500000000000001E-3</v>
      </c>
      <c r="M356" s="30">
        <f t="shared" si="260"/>
        <v>1.3500000000000001E-3</v>
      </c>
      <c r="N356" s="30">
        <f t="shared" si="260"/>
        <v>8.0999999999999996E-3</v>
      </c>
      <c r="O356" s="30">
        <f t="shared" si="260"/>
        <v>1.3500000000000001E-3</v>
      </c>
      <c r="P356" s="30">
        <f t="shared" si="260"/>
        <v>1.3500000000000001E-3</v>
      </c>
      <c r="Q356" s="30">
        <f t="shared" si="260"/>
        <v>8.0999999999999996E-3</v>
      </c>
      <c r="R356" s="30">
        <f t="shared" si="260"/>
        <v>1.3500000000000001E-3</v>
      </c>
      <c r="S356" s="30">
        <f t="shared" si="260"/>
        <v>1.3500000000000001E-3</v>
      </c>
      <c r="T356" s="30">
        <f t="shared" si="260"/>
        <v>8.0999999999999996E-3</v>
      </c>
      <c r="U356" s="30">
        <f t="shared" si="260"/>
        <v>1.3500000000000001E-3</v>
      </c>
      <c r="V356" s="180">
        <f t="shared" si="258"/>
        <v>7.4249999999999983E-2</v>
      </c>
      <c r="W356" s="53">
        <f t="shared" si="259"/>
        <v>3.7124999999999992E-3</v>
      </c>
    </row>
    <row r="357" spans="1:25" ht="13.5" customHeight="1">
      <c r="A357" s="134" t="s">
        <v>123</v>
      </c>
      <c r="B357" s="52">
        <v>0.96618357487922713</v>
      </c>
      <c r="C357" s="52">
        <v>0.93351070036640305</v>
      </c>
      <c r="D357" s="52">
        <v>0.90194270566802237</v>
      </c>
      <c r="E357" s="52">
        <v>0.87144222769857238</v>
      </c>
      <c r="F357" s="52">
        <v>0.84197316685852419</v>
      </c>
      <c r="G357" s="52">
        <v>0.81350064430775282</v>
      </c>
      <c r="H357" s="52">
        <v>0.78599096068381913</v>
      </c>
      <c r="I357" s="52">
        <v>0.75941155621625056</v>
      </c>
      <c r="J357" s="52">
        <v>0.73373097218961414</v>
      </c>
      <c r="K357" s="52">
        <v>0.70891881370977217</v>
      </c>
      <c r="L357" s="52">
        <v>0.68494571372924851</v>
      </c>
      <c r="M357" s="52">
        <v>0.66178329828912896</v>
      </c>
      <c r="N357" s="52">
        <v>0.63940415293635666</v>
      </c>
      <c r="O357" s="52">
        <v>0.61778179027667302</v>
      </c>
      <c r="P357" s="52">
        <v>0.59689061862480497</v>
      </c>
      <c r="Q357" s="52">
        <v>0.57670591171478747</v>
      </c>
      <c r="R357" s="52">
        <v>0.55720377943457733</v>
      </c>
      <c r="S357" s="52">
        <v>0.53836113955031628</v>
      </c>
      <c r="T357" s="52">
        <v>0.52015569038677911</v>
      </c>
      <c r="U357" s="52">
        <v>0.50256588443167061</v>
      </c>
      <c r="V357" s="180"/>
      <c r="W357" s="133"/>
    </row>
    <row r="358" spans="1:25" s="81" customFormat="1" ht="12.75">
      <c r="A358" s="50" t="s">
        <v>1069</v>
      </c>
      <c r="B358" s="34">
        <f t="shared" ref="B358:U358" si="261">B357*B356</f>
        <v>7.8260869565217397E-3</v>
      </c>
      <c r="C358" s="34">
        <f t="shared" si="261"/>
        <v>1.2602394454946442E-3</v>
      </c>
      <c r="D358" s="34">
        <f t="shared" si="261"/>
        <v>1.2176226526518302E-3</v>
      </c>
      <c r="E358" s="34">
        <f t="shared" si="261"/>
        <v>7.0586820443584355E-3</v>
      </c>
      <c r="F358" s="34">
        <f t="shared" si="261"/>
        <v>1.1366637752590078E-3</v>
      </c>
      <c r="G358" s="34">
        <f t="shared" si="261"/>
        <v>1.0982258698154664E-3</v>
      </c>
      <c r="H358" s="34">
        <f t="shared" si="261"/>
        <v>6.3665267815389342E-3</v>
      </c>
      <c r="I358" s="34">
        <f t="shared" si="261"/>
        <v>1.0252056008919384E-3</v>
      </c>
      <c r="J358" s="34">
        <f t="shared" si="261"/>
        <v>9.9053681245597921E-4</v>
      </c>
      <c r="K358" s="34">
        <f t="shared" si="261"/>
        <v>5.7422423910491538E-3</v>
      </c>
      <c r="L358" s="34">
        <f t="shared" si="261"/>
        <v>9.2467671353448555E-4</v>
      </c>
      <c r="M358" s="34">
        <f t="shared" si="261"/>
        <v>8.9340745269032417E-4</v>
      </c>
      <c r="N358" s="34">
        <f t="shared" si="261"/>
        <v>5.1791736387844884E-3</v>
      </c>
      <c r="O358" s="34">
        <f t="shared" si="261"/>
        <v>8.3400541687350866E-4</v>
      </c>
      <c r="P358" s="34">
        <f t="shared" si="261"/>
        <v>8.0580233514348674E-4</v>
      </c>
      <c r="Q358" s="34">
        <f t="shared" si="261"/>
        <v>4.6713178848897781E-3</v>
      </c>
      <c r="R358" s="34">
        <f t="shared" si="261"/>
        <v>7.5222510223667944E-4</v>
      </c>
      <c r="S358" s="34">
        <f t="shared" si="261"/>
        <v>7.2678753839292703E-4</v>
      </c>
      <c r="T358" s="34">
        <f t="shared" si="261"/>
        <v>4.2132610921329109E-3</v>
      </c>
      <c r="U358" s="34">
        <f t="shared" si="261"/>
        <v>6.7846394398275538E-4</v>
      </c>
      <c r="V358" s="182">
        <f>SUM(B358:U358)</f>
        <v>5.3401153448698474E-2</v>
      </c>
      <c r="W358" s="35"/>
    </row>
    <row r="359" spans="1:25" s="81" customFormat="1" ht="12.75">
      <c r="A359" s="33"/>
      <c r="B359" s="34"/>
      <c r="C359" s="34"/>
      <c r="D359" s="34"/>
      <c r="E359" s="34"/>
      <c r="F359" s="34"/>
      <c r="G359" s="34"/>
      <c r="H359" s="34"/>
      <c r="I359" s="34"/>
      <c r="J359" s="34"/>
      <c r="K359" s="34"/>
      <c r="L359" s="34"/>
      <c r="M359" s="34"/>
      <c r="N359" s="34"/>
      <c r="O359" s="34"/>
      <c r="P359" s="34"/>
      <c r="Q359" s="34"/>
      <c r="R359" s="34"/>
      <c r="S359" s="34"/>
      <c r="T359" s="34"/>
      <c r="U359" s="34"/>
      <c r="V359" s="182"/>
      <c r="W359" s="35"/>
    </row>
    <row r="360" spans="1:25" ht="12.75">
      <c r="A360" s="46" t="s">
        <v>1008</v>
      </c>
      <c r="B360" s="81"/>
      <c r="C360" s="81"/>
      <c r="D360" s="81"/>
      <c r="E360" s="81"/>
      <c r="F360" s="81"/>
      <c r="G360" s="81"/>
      <c r="H360" s="81"/>
      <c r="I360" s="81"/>
      <c r="J360" s="81"/>
      <c r="K360" s="81"/>
      <c r="L360" s="81"/>
      <c r="M360" s="81"/>
      <c r="N360" s="81"/>
      <c r="O360" s="81"/>
      <c r="P360" s="81"/>
      <c r="Q360" s="81"/>
      <c r="R360" s="81"/>
      <c r="S360" s="81"/>
      <c r="T360" s="81"/>
      <c r="U360" s="81"/>
      <c r="V360" s="179"/>
      <c r="W360" s="140"/>
    </row>
    <row r="361" spans="1:25" ht="12.75">
      <c r="A361" s="200" t="s">
        <v>679</v>
      </c>
      <c r="B361" s="136">
        <f t="shared" ref="B361:U361" si="262">B56</f>
        <v>6.7499999999999999E-3</v>
      </c>
      <c r="C361" s="136">
        <f t="shared" si="262"/>
        <v>0</v>
      </c>
      <c r="D361" s="136">
        <f t="shared" si="262"/>
        <v>0</v>
      </c>
      <c r="E361" s="136">
        <f t="shared" si="262"/>
        <v>6.7499999999999999E-3</v>
      </c>
      <c r="F361" s="136">
        <f t="shared" si="262"/>
        <v>0</v>
      </c>
      <c r="G361" s="136">
        <f t="shared" si="262"/>
        <v>0</v>
      </c>
      <c r="H361" s="136">
        <f t="shared" si="262"/>
        <v>6.7499999999999999E-3</v>
      </c>
      <c r="I361" s="136">
        <f t="shared" si="262"/>
        <v>0</v>
      </c>
      <c r="J361" s="136">
        <f t="shared" si="262"/>
        <v>0</v>
      </c>
      <c r="K361" s="136">
        <f t="shared" si="262"/>
        <v>6.7499999999999999E-3</v>
      </c>
      <c r="L361" s="136">
        <f t="shared" si="262"/>
        <v>0</v>
      </c>
      <c r="M361" s="136">
        <f t="shared" si="262"/>
        <v>0</v>
      </c>
      <c r="N361" s="136">
        <f t="shared" si="262"/>
        <v>6.7499999999999999E-3</v>
      </c>
      <c r="O361" s="136">
        <f t="shared" si="262"/>
        <v>0</v>
      </c>
      <c r="P361" s="136">
        <f t="shared" si="262"/>
        <v>0</v>
      </c>
      <c r="Q361" s="136">
        <f t="shared" si="262"/>
        <v>6.7499999999999999E-3</v>
      </c>
      <c r="R361" s="136">
        <f t="shared" si="262"/>
        <v>0</v>
      </c>
      <c r="S361" s="136">
        <f t="shared" si="262"/>
        <v>0</v>
      </c>
      <c r="T361" s="136">
        <f t="shared" si="262"/>
        <v>6.7499999999999999E-3</v>
      </c>
      <c r="U361" s="136">
        <f t="shared" si="262"/>
        <v>0</v>
      </c>
      <c r="V361" s="180">
        <f>SUM(B361:U361)</f>
        <v>4.725E-2</v>
      </c>
      <c r="W361" s="53">
        <f>V361/20</f>
        <v>2.3625E-3</v>
      </c>
    </row>
    <row r="362" spans="1:25" ht="12.75">
      <c r="A362" s="200" t="s">
        <v>680</v>
      </c>
      <c r="B362" s="136">
        <v>0</v>
      </c>
      <c r="C362" s="136">
        <v>0</v>
      </c>
      <c r="D362" s="136">
        <v>0</v>
      </c>
      <c r="E362" s="136">
        <v>0</v>
      </c>
      <c r="F362" s="136">
        <v>0</v>
      </c>
      <c r="G362" s="136">
        <v>0</v>
      </c>
      <c r="H362" s="136">
        <v>0</v>
      </c>
      <c r="I362" s="136">
        <v>0</v>
      </c>
      <c r="J362" s="136">
        <v>0</v>
      </c>
      <c r="K362" s="136">
        <v>0</v>
      </c>
      <c r="L362" s="136">
        <v>0</v>
      </c>
      <c r="M362" s="136">
        <v>0</v>
      </c>
      <c r="N362" s="136">
        <v>0</v>
      </c>
      <c r="O362" s="136">
        <v>0</v>
      </c>
      <c r="P362" s="136">
        <v>0</v>
      </c>
      <c r="Q362" s="136">
        <v>0</v>
      </c>
      <c r="R362" s="136">
        <v>0</v>
      </c>
      <c r="S362" s="136">
        <v>0</v>
      </c>
      <c r="T362" s="136">
        <v>0</v>
      </c>
      <c r="U362" s="136">
        <v>0</v>
      </c>
      <c r="V362" s="180">
        <f t="shared" ref="V362:V363" si="263">SUM(B362:U362)</f>
        <v>0</v>
      </c>
      <c r="W362" s="53">
        <f t="shared" ref="W362:W363" si="264">V362/20</f>
        <v>0</v>
      </c>
    </row>
    <row r="363" spans="1:25" s="3" customFormat="1" ht="12.75">
      <c r="A363" s="49" t="s">
        <v>664</v>
      </c>
      <c r="B363" s="30">
        <f>SUM(B361:B362)</f>
        <v>6.7499999999999999E-3</v>
      </c>
      <c r="C363" s="30">
        <f t="shared" ref="C363:U363" si="265">SUM(C361:C362)</f>
        <v>0</v>
      </c>
      <c r="D363" s="30">
        <f t="shared" si="265"/>
        <v>0</v>
      </c>
      <c r="E363" s="30">
        <f t="shared" si="265"/>
        <v>6.7499999999999999E-3</v>
      </c>
      <c r="F363" s="30">
        <f t="shared" si="265"/>
        <v>0</v>
      </c>
      <c r="G363" s="30">
        <f t="shared" si="265"/>
        <v>0</v>
      </c>
      <c r="H363" s="30">
        <f t="shared" si="265"/>
        <v>6.7499999999999999E-3</v>
      </c>
      <c r="I363" s="30">
        <f t="shared" si="265"/>
        <v>0</v>
      </c>
      <c r="J363" s="30">
        <f t="shared" si="265"/>
        <v>0</v>
      </c>
      <c r="K363" s="30">
        <f t="shared" si="265"/>
        <v>6.7499999999999999E-3</v>
      </c>
      <c r="L363" s="30">
        <f t="shared" si="265"/>
        <v>0</v>
      </c>
      <c r="M363" s="30">
        <f t="shared" si="265"/>
        <v>0</v>
      </c>
      <c r="N363" s="30">
        <f t="shared" si="265"/>
        <v>6.7499999999999999E-3</v>
      </c>
      <c r="O363" s="30">
        <f t="shared" si="265"/>
        <v>0</v>
      </c>
      <c r="P363" s="30">
        <f t="shared" si="265"/>
        <v>0</v>
      </c>
      <c r="Q363" s="30">
        <f t="shared" si="265"/>
        <v>6.7499999999999999E-3</v>
      </c>
      <c r="R363" s="30">
        <f t="shared" si="265"/>
        <v>0</v>
      </c>
      <c r="S363" s="30">
        <f t="shared" si="265"/>
        <v>0</v>
      </c>
      <c r="T363" s="30">
        <f t="shared" si="265"/>
        <v>6.7499999999999999E-3</v>
      </c>
      <c r="U363" s="30">
        <f t="shared" si="265"/>
        <v>0</v>
      </c>
      <c r="V363" s="180">
        <f t="shared" si="263"/>
        <v>4.725E-2</v>
      </c>
      <c r="W363" s="53">
        <f t="shared" si="264"/>
        <v>2.3625E-3</v>
      </c>
    </row>
    <row r="364" spans="1:25" ht="13.5" customHeight="1">
      <c r="A364" s="134" t="s">
        <v>123</v>
      </c>
      <c r="B364" s="52">
        <v>0.96618357487922713</v>
      </c>
      <c r="C364" s="52">
        <v>0.93351070036640305</v>
      </c>
      <c r="D364" s="52">
        <v>0.90194270566802237</v>
      </c>
      <c r="E364" s="52">
        <v>0.87144222769857238</v>
      </c>
      <c r="F364" s="52">
        <v>0.84197316685852419</v>
      </c>
      <c r="G364" s="52">
        <v>0.81350064430775282</v>
      </c>
      <c r="H364" s="52">
        <v>0.78599096068381913</v>
      </c>
      <c r="I364" s="52">
        <v>0.75941155621625056</v>
      </c>
      <c r="J364" s="52">
        <v>0.73373097218961414</v>
      </c>
      <c r="K364" s="52">
        <v>0.70891881370977217</v>
      </c>
      <c r="L364" s="52">
        <v>0.68494571372924851</v>
      </c>
      <c r="M364" s="52">
        <v>0.66178329828912896</v>
      </c>
      <c r="N364" s="52">
        <v>0.63940415293635666</v>
      </c>
      <c r="O364" s="52">
        <v>0.61778179027667302</v>
      </c>
      <c r="P364" s="52">
        <v>0.59689061862480497</v>
      </c>
      <c r="Q364" s="52">
        <v>0.57670591171478747</v>
      </c>
      <c r="R364" s="52">
        <v>0.55720377943457733</v>
      </c>
      <c r="S364" s="52">
        <v>0.53836113955031628</v>
      </c>
      <c r="T364" s="52">
        <v>0.52015569038677911</v>
      </c>
      <c r="U364" s="52">
        <v>0.50256588443167061</v>
      </c>
      <c r="V364" s="180"/>
      <c r="W364" s="133"/>
    </row>
    <row r="365" spans="1:25" s="81" customFormat="1" ht="12.75">
      <c r="A365" s="50" t="s">
        <v>1069</v>
      </c>
      <c r="B365" s="34">
        <f t="shared" ref="B365:U365" si="266">B364*B363</f>
        <v>6.5217391304347831E-3</v>
      </c>
      <c r="C365" s="34">
        <f t="shared" si="266"/>
        <v>0</v>
      </c>
      <c r="D365" s="34">
        <f t="shared" si="266"/>
        <v>0</v>
      </c>
      <c r="E365" s="34">
        <f t="shared" si="266"/>
        <v>5.8822350369653635E-3</v>
      </c>
      <c r="F365" s="34">
        <f t="shared" si="266"/>
        <v>0</v>
      </c>
      <c r="G365" s="34">
        <f t="shared" si="266"/>
        <v>0</v>
      </c>
      <c r="H365" s="34">
        <f t="shared" si="266"/>
        <v>5.3054389846157787E-3</v>
      </c>
      <c r="I365" s="34">
        <f t="shared" si="266"/>
        <v>0</v>
      </c>
      <c r="J365" s="34">
        <f t="shared" si="266"/>
        <v>0</v>
      </c>
      <c r="K365" s="34">
        <f t="shared" si="266"/>
        <v>4.785201992540962E-3</v>
      </c>
      <c r="L365" s="34">
        <f t="shared" si="266"/>
        <v>0</v>
      </c>
      <c r="M365" s="34">
        <f t="shared" si="266"/>
        <v>0</v>
      </c>
      <c r="N365" s="34">
        <f t="shared" si="266"/>
        <v>4.3159780323204075E-3</v>
      </c>
      <c r="O365" s="34">
        <f t="shared" si="266"/>
        <v>0</v>
      </c>
      <c r="P365" s="34">
        <f t="shared" si="266"/>
        <v>0</v>
      </c>
      <c r="Q365" s="34">
        <f t="shared" si="266"/>
        <v>3.8927649040748154E-3</v>
      </c>
      <c r="R365" s="34">
        <f t="shared" si="266"/>
        <v>0</v>
      </c>
      <c r="S365" s="34">
        <f t="shared" si="266"/>
        <v>0</v>
      </c>
      <c r="T365" s="34">
        <f t="shared" si="266"/>
        <v>3.5110509101107588E-3</v>
      </c>
      <c r="U365" s="34">
        <f t="shared" si="266"/>
        <v>0</v>
      </c>
      <c r="V365" s="182">
        <f>SUM(B365:U365)</f>
        <v>3.4214408991062872E-2</v>
      </c>
      <c r="W365" s="35"/>
    </row>
    <row r="366" spans="1:25" s="81" customFormat="1" ht="12.75">
      <c r="A366" s="33"/>
      <c r="B366" s="34"/>
      <c r="C366" s="34"/>
      <c r="D366" s="34"/>
      <c r="E366" s="34"/>
      <c r="F366" s="34"/>
      <c r="G366" s="34"/>
      <c r="H366" s="34"/>
      <c r="I366" s="34"/>
      <c r="J366" s="34"/>
      <c r="K366" s="34"/>
      <c r="L366" s="34"/>
      <c r="M366" s="34"/>
      <c r="N366" s="34"/>
      <c r="O366" s="34"/>
      <c r="P366" s="34"/>
      <c r="Q366" s="34"/>
      <c r="R366" s="34"/>
      <c r="S366" s="34"/>
      <c r="T366" s="34"/>
      <c r="U366" s="34"/>
      <c r="V366" s="182"/>
      <c r="W366" s="35"/>
    </row>
    <row r="367" spans="1:25" ht="12.75">
      <c r="A367" s="139" t="s">
        <v>1070</v>
      </c>
      <c r="B367" s="81"/>
      <c r="C367" s="81"/>
      <c r="D367" s="81"/>
      <c r="E367" s="81"/>
      <c r="F367" s="81"/>
      <c r="G367" s="81"/>
      <c r="H367" s="81"/>
      <c r="I367" s="81"/>
      <c r="J367" s="81"/>
      <c r="K367" s="81"/>
      <c r="L367" s="81"/>
      <c r="M367" s="81"/>
      <c r="N367" s="81"/>
      <c r="O367" s="81"/>
      <c r="P367" s="81"/>
      <c r="Q367" s="81"/>
      <c r="R367" s="81"/>
      <c r="S367" s="81"/>
      <c r="T367" s="81"/>
      <c r="U367" s="81"/>
      <c r="V367" s="179"/>
      <c r="W367" s="140"/>
      <c r="Y367" s="86"/>
    </row>
    <row r="368" spans="1:25" ht="12.75">
      <c r="A368" s="200" t="s">
        <v>679</v>
      </c>
      <c r="B368" s="136">
        <f t="shared" ref="B368:U368" si="267">B57</f>
        <v>6.7499999999999999E-3</v>
      </c>
      <c r="C368" s="136">
        <f t="shared" si="267"/>
        <v>0</v>
      </c>
      <c r="D368" s="136">
        <f t="shared" si="267"/>
        <v>0</v>
      </c>
      <c r="E368" s="136">
        <f t="shared" si="267"/>
        <v>6.7499999999999999E-3</v>
      </c>
      <c r="F368" s="136">
        <f t="shared" si="267"/>
        <v>0</v>
      </c>
      <c r="G368" s="136">
        <f t="shared" si="267"/>
        <v>0</v>
      </c>
      <c r="H368" s="136">
        <f t="shared" si="267"/>
        <v>6.7499999999999999E-3</v>
      </c>
      <c r="I368" s="136">
        <f t="shared" si="267"/>
        <v>0</v>
      </c>
      <c r="J368" s="136">
        <f t="shared" si="267"/>
        <v>0</v>
      </c>
      <c r="K368" s="136">
        <f t="shared" si="267"/>
        <v>6.7499999999999999E-3</v>
      </c>
      <c r="L368" s="136">
        <f t="shared" si="267"/>
        <v>0</v>
      </c>
      <c r="M368" s="136">
        <f t="shared" si="267"/>
        <v>0</v>
      </c>
      <c r="N368" s="136">
        <f t="shared" si="267"/>
        <v>6.7499999999999999E-3</v>
      </c>
      <c r="O368" s="136">
        <f t="shared" si="267"/>
        <v>0</v>
      </c>
      <c r="P368" s="136">
        <f t="shared" si="267"/>
        <v>0</v>
      </c>
      <c r="Q368" s="136">
        <f t="shared" si="267"/>
        <v>6.7499999999999999E-3</v>
      </c>
      <c r="R368" s="136">
        <f t="shared" si="267"/>
        <v>0</v>
      </c>
      <c r="S368" s="136">
        <f t="shared" si="267"/>
        <v>0</v>
      </c>
      <c r="T368" s="136">
        <f t="shared" si="267"/>
        <v>6.7499999999999999E-3</v>
      </c>
      <c r="U368" s="136">
        <f t="shared" si="267"/>
        <v>0</v>
      </c>
      <c r="V368" s="180">
        <f>SUM(B368:U368)</f>
        <v>4.725E-2</v>
      </c>
      <c r="W368" s="53">
        <f>V368/20</f>
        <v>2.3625E-3</v>
      </c>
      <c r="Y368" s="175"/>
    </row>
    <row r="369" spans="1:25" ht="12.75">
      <c r="A369" s="200" t="s">
        <v>680</v>
      </c>
      <c r="B369" s="136">
        <v>0</v>
      </c>
      <c r="C369" s="136">
        <v>0</v>
      </c>
      <c r="D369" s="136">
        <v>0</v>
      </c>
      <c r="E369" s="136">
        <v>0</v>
      </c>
      <c r="F369" s="136">
        <v>0</v>
      </c>
      <c r="G369" s="136">
        <v>0</v>
      </c>
      <c r="H369" s="136">
        <v>0</v>
      </c>
      <c r="I369" s="136">
        <v>0</v>
      </c>
      <c r="J369" s="136">
        <v>0</v>
      </c>
      <c r="K369" s="136">
        <v>0</v>
      </c>
      <c r="L369" s="136">
        <v>0</v>
      </c>
      <c r="M369" s="136">
        <v>0</v>
      </c>
      <c r="N369" s="136">
        <v>0</v>
      </c>
      <c r="O369" s="136">
        <v>0</v>
      </c>
      <c r="P369" s="136">
        <v>0</v>
      </c>
      <c r="Q369" s="136">
        <v>0</v>
      </c>
      <c r="R369" s="136">
        <v>0</v>
      </c>
      <c r="S369" s="136">
        <v>0</v>
      </c>
      <c r="T369" s="136">
        <v>0</v>
      </c>
      <c r="U369" s="136">
        <v>0</v>
      </c>
      <c r="V369" s="180">
        <f t="shared" ref="V369:V370" si="268">SUM(B369:U369)</f>
        <v>0</v>
      </c>
      <c r="W369" s="53">
        <f t="shared" ref="W369:W370" si="269">V369/20</f>
        <v>0</v>
      </c>
      <c r="Y369" s="175"/>
    </row>
    <row r="370" spans="1:25" s="3" customFormat="1" ht="12.75">
      <c r="A370" s="49" t="s">
        <v>664</v>
      </c>
      <c r="B370" s="30">
        <f>SUM(B368:B369)</f>
        <v>6.7499999999999999E-3</v>
      </c>
      <c r="C370" s="30">
        <f t="shared" ref="C370:U370" si="270">SUM(C368:C369)</f>
        <v>0</v>
      </c>
      <c r="D370" s="30">
        <f t="shared" si="270"/>
        <v>0</v>
      </c>
      <c r="E370" s="30">
        <f t="shared" si="270"/>
        <v>6.7499999999999999E-3</v>
      </c>
      <c r="F370" s="30">
        <f t="shared" si="270"/>
        <v>0</v>
      </c>
      <c r="G370" s="30">
        <f t="shared" si="270"/>
        <v>0</v>
      </c>
      <c r="H370" s="30">
        <f t="shared" si="270"/>
        <v>6.7499999999999999E-3</v>
      </c>
      <c r="I370" s="30">
        <f t="shared" si="270"/>
        <v>0</v>
      </c>
      <c r="J370" s="30">
        <f t="shared" si="270"/>
        <v>0</v>
      </c>
      <c r="K370" s="30">
        <f t="shared" si="270"/>
        <v>6.7499999999999999E-3</v>
      </c>
      <c r="L370" s="30">
        <f t="shared" si="270"/>
        <v>0</v>
      </c>
      <c r="M370" s="30">
        <f t="shared" si="270"/>
        <v>0</v>
      </c>
      <c r="N370" s="30">
        <f t="shared" si="270"/>
        <v>6.7499999999999999E-3</v>
      </c>
      <c r="O370" s="30">
        <f t="shared" si="270"/>
        <v>0</v>
      </c>
      <c r="P370" s="30">
        <f t="shared" si="270"/>
        <v>0</v>
      </c>
      <c r="Q370" s="30">
        <f t="shared" si="270"/>
        <v>6.7499999999999999E-3</v>
      </c>
      <c r="R370" s="30">
        <f t="shared" si="270"/>
        <v>0</v>
      </c>
      <c r="S370" s="30">
        <f t="shared" si="270"/>
        <v>0</v>
      </c>
      <c r="T370" s="30">
        <f t="shared" si="270"/>
        <v>6.7499999999999999E-3</v>
      </c>
      <c r="U370" s="30">
        <f t="shared" si="270"/>
        <v>0</v>
      </c>
      <c r="V370" s="180">
        <f t="shared" si="268"/>
        <v>4.725E-2</v>
      </c>
      <c r="W370" s="53">
        <f t="shared" si="269"/>
        <v>2.3625E-3</v>
      </c>
      <c r="Y370" s="175"/>
    </row>
    <row r="371" spans="1:25" ht="13.5" customHeight="1">
      <c r="A371" s="134" t="s">
        <v>123</v>
      </c>
      <c r="B371" s="52">
        <v>0.96618357487922713</v>
      </c>
      <c r="C371" s="52">
        <v>0.93351070036640305</v>
      </c>
      <c r="D371" s="52">
        <v>0.90194270566802237</v>
      </c>
      <c r="E371" s="52">
        <v>0.87144222769857238</v>
      </c>
      <c r="F371" s="52">
        <v>0.84197316685852419</v>
      </c>
      <c r="G371" s="52">
        <v>0.81350064430775282</v>
      </c>
      <c r="H371" s="52">
        <v>0.78599096068381913</v>
      </c>
      <c r="I371" s="52">
        <v>0.75941155621625056</v>
      </c>
      <c r="J371" s="52">
        <v>0.73373097218961414</v>
      </c>
      <c r="K371" s="52">
        <v>0.70891881370977217</v>
      </c>
      <c r="L371" s="52">
        <v>0.68494571372924851</v>
      </c>
      <c r="M371" s="52">
        <v>0.66178329828912896</v>
      </c>
      <c r="N371" s="52">
        <v>0.63940415293635666</v>
      </c>
      <c r="O371" s="52">
        <v>0.61778179027667302</v>
      </c>
      <c r="P371" s="52">
        <v>0.59689061862480497</v>
      </c>
      <c r="Q371" s="52">
        <v>0.57670591171478747</v>
      </c>
      <c r="R371" s="52">
        <v>0.55720377943457733</v>
      </c>
      <c r="S371" s="52">
        <v>0.53836113955031628</v>
      </c>
      <c r="T371" s="52">
        <v>0.52015569038677911</v>
      </c>
      <c r="U371" s="52">
        <v>0.50256588443167061</v>
      </c>
      <c r="V371" s="180"/>
      <c r="W371" s="133"/>
      <c r="Y371" s="175"/>
    </row>
    <row r="372" spans="1:25" s="81" customFormat="1" ht="12.75">
      <c r="A372" s="50" t="s">
        <v>1069</v>
      </c>
      <c r="B372" s="34">
        <f t="shared" ref="B372:U372" si="271">B371*B370</f>
        <v>6.5217391304347831E-3</v>
      </c>
      <c r="C372" s="34">
        <f t="shared" si="271"/>
        <v>0</v>
      </c>
      <c r="D372" s="34">
        <f t="shared" si="271"/>
        <v>0</v>
      </c>
      <c r="E372" s="34">
        <f t="shared" si="271"/>
        <v>5.8822350369653635E-3</v>
      </c>
      <c r="F372" s="34">
        <f t="shared" si="271"/>
        <v>0</v>
      </c>
      <c r="G372" s="34">
        <f t="shared" si="271"/>
        <v>0</v>
      </c>
      <c r="H372" s="34">
        <f t="shared" si="271"/>
        <v>5.3054389846157787E-3</v>
      </c>
      <c r="I372" s="34">
        <f t="shared" si="271"/>
        <v>0</v>
      </c>
      <c r="J372" s="34">
        <f t="shared" si="271"/>
        <v>0</v>
      </c>
      <c r="K372" s="34">
        <f t="shared" si="271"/>
        <v>4.785201992540962E-3</v>
      </c>
      <c r="L372" s="34">
        <f t="shared" si="271"/>
        <v>0</v>
      </c>
      <c r="M372" s="34">
        <f t="shared" si="271"/>
        <v>0</v>
      </c>
      <c r="N372" s="34">
        <f t="shared" si="271"/>
        <v>4.3159780323204075E-3</v>
      </c>
      <c r="O372" s="34">
        <f t="shared" si="271"/>
        <v>0</v>
      </c>
      <c r="P372" s="34">
        <f t="shared" si="271"/>
        <v>0</v>
      </c>
      <c r="Q372" s="34">
        <f t="shared" si="271"/>
        <v>3.8927649040748154E-3</v>
      </c>
      <c r="R372" s="34">
        <f t="shared" si="271"/>
        <v>0</v>
      </c>
      <c r="S372" s="34">
        <f t="shared" si="271"/>
        <v>0</v>
      </c>
      <c r="T372" s="34">
        <f t="shared" si="271"/>
        <v>3.5110509101107588E-3</v>
      </c>
      <c r="U372" s="34">
        <f t="shared" si="271"/>
        <v>0</v>
      </c>
      <c r="V372" s="182">
        <f>SUM(B372:U372)</f>
        <v>3.4214408991062872E-2</v>
      </c>
      <c r="W372" s="35"/>
      <c r="Y372" s="175"/>
    </row>
    <row r="373" spans="1:25" s="81" customFormat="1" ht="12.75">
      <c r="A373" s="33"/>
      <c r="B373" s="34"/>
      <c r="C373" s="34"/>
      <c r="D373" s="34"/>
      <c r="E373" s="34"/>
      <c r="F373" s="34"/>
      <c r="G373" s="34"/>
      <c r="H373" s="34"/>
      <c r="I373" s="34"/>
      <c r="J373" s="34"/>
      <c r="K373" s="34"/>
      <c r="L373" s="34"/>
      <c r="M373" s="34"/>
      <c r="N373" s="34"/>
      <c r="O373" s="34"/>
      <c r="P373" s="34"/>
      <c r="Q373" s="34"/>
      <c r="R373" s="34"/>
      <c r="S373" s="34"/>
      <c r="T373" s="34"/>
      <c r="U373" s="34"/>
      <c r="V373" s="182"/>
      <c r="W373" s="35"/>
      <c r="Y373" s="175"/>
    </row>
    <row r="374" spans="1:25" ht="12.75">
      <c r="A374" s="139" t="s">
        <v>1071</v>
      </c>
      <c r="B374" s="81"/>
      <c r="C374" s="81"/>
      <c r="D374" s="81"/>
      <c r="E374" s="81"/>
      <c r="F374" s="81"/>
      <c r="G374" s="81"/>
      <c r="H374" s="81"/>
      <c r="I374" s="81"/>
      <c r="J374" s="81"/>
      <c r="K374" s="81"/>
      <c r="L374" s="81"/>
      <c r="M374" s="81"/>
      <c r="N374" s="81"/>
      <c r="O374" s="81"/>
      <c r="P374" s="81"/>
      <c r="Q374" s="81"/>
      <c r="R374" s="81"/>
      <c r="S374" s="81"/>
      <c r="T374" s="81"/>
      <c r="U374" s="81"/>
      <c r="V374" s="179"/>
      <c r="W374" s="140"/>
    </row>
    <row r="375" spans="1:25" ht="12.75">
      <c r="A375" s="200" t="s">
        <v>679</v>
      </c>
      <c r="B375" s="136">
        <f>B58</f>
        <v>6.7499999999999999E-3</v>
      </c>
      <c r="C375" s="136">
        <f t="shared" ref="C375:U375" si="272">C55</f>
        <v>0</v>
      </c>
      <c r="D375" s="136">
        <f t="shared" si="272"/>
        <v>0</v>
      </c>
      <c r="E375" s="136">
        <f t="shared" si="272"/>
        <v>6.7499999999999999E-3</v>
      </c>
      <c r="F375" s="136">
        <f t="shared" si="272"/>
        <v>0</v>
      </c>
      <c r="G375" s="136">
        <f t="shared" si="272"/>
        <v>0</v>
      </c>
      <c r="H375" s="136">
        <f t="shared" si="272"/>
        <v>6.7499999999999999E-3</v>
      </c>
      <c r="I375" s="136">
        <f t="shared" si="272"/>
        <v>0</v>
      </c>
      <c r="J375" s="136">
        <f t="shared" si="272"/>
        <v>0</v>
      </c>
      <c r="K375" s="136">
        <f t="shared" si="272"/>
        <v>6.7499999999999999E-3</v>
      </c>
      <c r="L375" s="136">
        <f t="shared" si="272"/>
        <v>0</v>
      </c>
      <c r="M375" s="136">
        <f t="shared" si="272"/>
        <v>0</v>
      </c>
      <c r="N375" s="136">
        <f t="shared" si="272"/>
        <v>6.7499999999999999E-3</v>
      </c>
      <c r="O375" s="136">
        <f t="shared" si="272"/>
        <v>0</v>
      </c>
      <c r="P375" s="136">
        <f t="shared" si="272"/>
        <v>0</v>
      </c>
      <c r="Q375" s="136">
        <f t="shared" si="272"/>
        <v>6.7499999999999999E-3</v>
      </c>
      <c r="R375" s="136">
        <f t="shared" si="272"/>
        <v>0</v>
      </c>
      <c r="S375" s="136">
        <f t="shared" si="272"/>
        <v>0</v>
      </c>
      <c r="T375" s="136">
        <f t="shared" si="272"/>
        <v>6.7499999999999999E-3</v>
      </c>
      <c r="U375" s="136">
        <f t="shared" si="272"/>
        <v>0</v>
      </c>
      <c r="V375" s="180">
        <f>SUM(B375:U375)</f>
        <v>4.725E-2</v>
      </c>
      <c r="W375" s="53">
        <f>V375/20</f>
        <v>2.3625E-3</v>
      </c>
    </row>
    <row r="376" spans="1:25" ht="12.75">
      <c r="A376" s="200" t="s">
        <v>680</v>
      </c>
      <c r="B376" s="136">
        <v>0</v>
      </c>
      <c r="C376" s="136">
        <v>0</v>
      </c>
      <c r="D376" s="136">
        <v>0</v>
      </c>
      <c r="E376" s="136">
        <v>0</v>
      </c>
      <c r="F376" s="136">
        <v>0</v>
      </c>
      <c r="G376" s="136">
        <v>0</v>
      </c>
      <c r="H376" s="136">
        <v>0</v>
      </c>
      <c r="I376" s="136">
        <v>0</v>
      </c>
      <c r="J376" s="136">
        <v>0</v>
      </c>
      <c r="K376" s="136">
        <v>0</v>
      </c>
      <c r="L376" s="136">
        <v>0</v>
      </c>
      <c r="M376" s="136">
        <v>0</v>
      </c>
      <c r="N376" s="136">
        <v>0</v>
      </c>
      <c r="O376" s="136">
        <v>0</v>
      </c>
      <c r="P376" s="136">
        <v>0</v>
      </c>
      <c r="Q376" s="136">
        <v>0</v>
      </c>
      <c r="R376" s="136">
        <v>0</v>
      </c>
      <c r="S376" s="136">
        <v>0</v>
      </c>
      <c r="T376" s="136">
        <v>0</v>
      </c>
      <c r="U376" s="136">
        <v>0</v>
      </c>
      <c r="V376" s="180">
        <f t="shared" ref="V376:V377" si="273">SUM(B376:U376)</f>
        <v>0</v>
      </c>
      <c r="W376" s="53">
        <f t="shared" ref="W376:W377" si="274">V376/20</f>
        <v>0</v>
      </c>
    </row>
    <row r="377" spans="1:25" s="3" customFormat="1" ht="12.75">
      <c r="A377" s="49" t="s">
        <v>664</v>
      </c>
      <c r="B377" s="30">
        <f>SUM(B375:B376)</f>
        <v>6.7499999999999999E-3</v>
      </c>
      <c r="C377" s="30">
        <f t="shared" ref="C377:U377" si="275">SUM(C375:C376)</f>
        <v>0</v>
      </c>
      <c r="D377" s="30">
        <f t="shared" si="275"/>
        <v>0</v>
      </c>
      <c r="E377" s="30">
        <f t="shared" si="275"/>
        <v>6.7499999999999999E-3</v>
      </c>
      <c r="F377" s="30">
        <f t="shared" si="275"/>
        <v>0</v>
      </c>
      <c r="G377" s="30">
        <f t="shared" si="275"/>
        <v>0</v>
      </c>
      <c r="H377" s="30">
        <f t="shared" si="275"/>
        <v>6.7499999999999999E-3</v>
      </c>
      <c r="I377" s="30">
        <f t="shared" si="275"/>
        <v>0</v>
      </c>
      <c r="J377" s="30">
        <f t="shared" si="275"/>
        <v>0</v>
      </c>
      <c r="K377" s="30">
        <f t="shared" si="275"/>
        <v>6.7499999999999999E-3</v>
      </c>
      <c r="L377" s="30">
        <f t="shared" si="275"/>
        <v>0</v>
      </c>
      <c r="M377" s="30">
        <f t="shared" si="275"/>
        <v>0</v>
      </c>
      <c r="N377" s="30">
        <f t="shared" si="275"/>
        <v>6.7499999999999999E-3</v>
      </c>
      <c r="O377" s="30">
        <f t="shared" si="275"/>
        <v>0</v>
      </c>
      <c r="P377" s="30">
        <f t="shared" si="275"/>
        <v>0</v>
      </c>
      <c r="Q377" s="30">
        <f t="shared" si="275"/>
        <v>6.7499999999999999E-3</v>
      </c>
      <c r="R377" s="30">
        <f t="shared" si="275"/>
        <v>0</v>
      </c>
      <c r="S377" s="30">
        <f t="shared" si="275"/>
        <v>0</v>
      </c>
      <c r="T377" s="30">
        <f t="shared" si="275"/>
        <v>6.7499999999999999E-3</v>
      </c>
      <c r="U377" s="30">
        <f t="shared" si="275"/>
        <v>0</v>
      </c>
      <c r="V377" s="180">
        <f t="shared" si="273"/>
        <v>4.725E-2</v>
      </c>
      <c r="W377" s="53">
        <f t="shared" si="274"/>
        <v>2.3625E-3</v>
      </c>
    </row>
    <row r="378" spans="1:25" ht="13.5" customHeight="1">
      <c r="A378" s="134" t="s">
        <v>123</v>
      </c>
      <c r="B378" s="52">
        <v>0.96618357487922713</v>
      </c>
      <c r="C378" s="52">
        <v>0.93351070036640305</v>
      </c>
      <c r="D378" s="52">
        <v>0.90194270566802237</v>
      </c>
      <c r="E378" s="52">
        <v>0.87144222769857238</v>
      </c>
      <c r="F378" s="52">
        <v>0.84197316685852419</v>
      </c>
      <c r="G378" s="52">
        <v>0.81350064430775282</v>
      </c>
      <c r="H378" s="52">
        <v>0.78599096068381913</v>
      </c>
      <c r="I378" s="52">
        <v>0.75941155621625056</v>
      </c>
      <c r="J378" s="52">
        <v>0.73373097218961414</v>
      </c>
      <c r="K378" s="52">
        <v>0.70891881370977217</v>
      </c>
      <c r="L378" s="52">
        <v>0.68494571372924851</v>
      </c>
      <c r="M378" s="52">
        <v>0.66178329828912896</v>
      </c>
      <c r="N378" s="52">
        <v>0.63940415293635666</v>
      </c>
      <c r="O378" s="52">
        <v>0.61778179027667302</v>
      </c>
      <c r="P378" s="52">
        <v>0.59689061862480497</v>
      </c>
      <c r="Q378" s="52">
        <v>0.57670591171478747</v>
      </c>
      <c r="R378" s="52">
        <v>0.55720377943457733</v>
      </c>
      <c r="S378" s="52">
        <v>0.53836113955031628</v>
      </c>
      <c r="T378" s="52">
        <v>0.52015569038677911</v>
      </c>
      <c r="U378" s="52">
        <v>0.50256588443167061</v>
      </c>
      <c r="V378" s="180"/>
      <c r="W378" s="133"/>
    </row>
    <row r="379" spans="1:25" s="81" customFormat="1" ht="12.75">
      <c r="A379" s="50" t="s">
        <v>1069</v>
      </c>
      <c r="B379" s="34">
        <f t="shared" ref="B379:U379" si="276">B378*B377</f>
        <v>6.5217391304347831E-3</v>
      </c>
      <c r="C379" s="34">
        <f t="shared" si="276"/>
        <v>0</v>
      </c>
      <c r="D379" s="34">
        <f t="shared" si="276"/>
        <v>0</v>
      </c>
      <c r="E379" s="34">
        <f t="shared" si="276"/>
        <v>5.8822350369653635E-3</v>
      </c>
      <c r="F379" s="34">
        <f t="shared" si="276"/>
        <v>0</v>
      </c>
      <c r="G379" s="34">
        <f t="shared" si="276"/>
        <v>0</v>
      </c>
      <c r="H379" s="34">
        <f t="shared" si="276"/>
        <v>5.3054389846157787E-3</v>
      </c>
      <c r="I379" s="34">
        <f t="shared" si="276"/>
        <v>0</v>
      </c>
      <c r="J379" s="34">
        <f t="shared" si="276"/>
        <v>0</v>
      </c>
      <c r="K379" s="34">
        <f t="shared" si="276"/>
        <v>4.785201992540962E-3</v>
      </c>
      <c r="L379" s="34">
        <f t="shared" si="276"/>
        <v>0</v>
      </c>
      <c r="M379" s="34">
        <f t="shared" si="276"/>
        <v>0</v>
      </c>
      <c r="N379" s="34">
        <f t="shared" si="276"/>
        <v>4.3159780323204075E-3</v>
      </c>
      <c r="O379" s="34">
        <f t="shared" si="276"/>
        <v>0</v>
      </c>
      <c r="P379" s="34">
        <f t="shared" si="276"/>
        <v>0</v>
      </c>
      <c r="Q379" s="34">
        <f t="shared" si="276"/>
        <v>3.8927649040748154E-3</v>
      </c>
      <c r="R379" s="34">
        <f t="shared" si="276"/>
        <v>0</v>
      </c>
      <c r="S379" s="34">
        <f t="shared" si="276"/>
        <v>0</v>
      </c>
      <c r="T379" s="34">
        <f t="shared" si="276"/>
        <v>3.5110509101107588E-3</v>
      </c>
      <c r="U379" s="34">
        <f t="shared" si="276"/>
        <v>0</v>
      </c>
      <c r="V379" s="182">
        <f>SUM(B379:U379)</f>
        <v>3.4214408991062872E-2</v>
      </c>
      <c r="W379" s="35"/>
    </row>
    <row r="380" spans="1:25" s="81" customFormat="1" thickBot="1">
      <c r="A380" s="37"/>
      <c r="B380" s="38"/>
      <c r="C380" s="38"/>
      <c r="D380" s="38"/>
      <c r="E380" s="38"/>
      <c r="F380" s="38"/>
      <c r="G380" s="38"/>
      <c r="H380" s="38"/>
      <c r="I380" s="38"/>
      <c r="J380" s="38"/>
      <c r="K380" s="38"/>
      <c r="L380" s="38"/>
      <c r="M380" s="38"/>
      <c r="N380" s="38"/>
      <c r="O380" s="38"/>
      <c r="P380" s="38"/>
      <c r="Q380" s="38"/>
      <c r="R380" s="38"/>
      <c r="S380" s="38"/>
      <c r="T380" s="38"/>
      <c r="U380" s="38"/>
      <c r="V380" s="183"/>
      <c r="W380" s="39"/>
    </row>
    <row r="381" spans="1:25" ht="13.5" customHeight="1">
      <c r="Y381" s="175"/>
    </row>
    <row r="382" spans="1:25" ht="13.5" customHeight="1">
      <c r="Y382" s="175"/>
    </row>
    <row r="383" spans="1:25" ht="13.5" customHeight="1">
      <c r="Y383" s="175"/>
    </row>
    <row r="384" spans="1:25" ht="13.5" customHeight="1">
      <c r="Y384" s="175"/>
    </row>
    <row r="385" spans="25:25" ht="13.5" customHeight="1">
      <c r="Y385" s="175"/>
    </row>
    <row r="386" spans="25:25" ht="13.5" customHeight="1">
      <c r="Y386" s="175"/>
    </row>
    <row r="387" spans="25:25" ht="13.5" customHeight="1">
      <c r="Y387" s="175"/>
    </row>
    <row r="388" spans="25:25" ht="13.5" customHeight="1">
      <c r="Y388" s="175"/>
    </row>
  </sheetData>
  <sheetProtection password="8725" sheet="1" objects="1" scenarios="1"/>
  <mergeCells count="7">
    <mergeCell ref="A3:U3"/>
    <mergeCell ref="V6:V7"/>
    <mergeCell ref="W6:W7"/>
    <mergeCell ref="V128:V129"/>
    <mergeCell ref="W128:W129"/>
    <mergeCell ref="A5:W5"/>
    <mergeCell ref="A127:W127"/>
  </mergeCells>
  <pageMargins left="0.70866141732283472" right="0.70866141732283472" top="0.74803149606299213" bottom="0.74803149606299213" header="0.31496062992125984" footer="0.31496062992125984"/>
  <pageSetup paperSize="9" scale="65" fitToHeight="2" orientation="landscape" r:id="rId1"/>
</worksheet>
</file>

<file path=xl/worksheets/sheet4.xml><?xml version="1.0" encoding="utf-8"?>
<worksheet xmlns="http://schemas.openxmlformats.org/spreadsheetml/2006/main" xmlns:r="http://schemas.openxmlformats.org/officeDocument/2006/relationships">
  <dimension ref="A1:W411"/>
  <sheetViews>
    <sheetView zoomScale="80" zoomScaleNormal="80" workbookViewId="0">
      <selection activeCell="C6" sqref="C6"/>
    </sheetView>
  </sheetViews>
  <sheetFormatPr defaultRowHeight="12.75"/>
  <cols>
    <col min="1" max="1" width="31" style="74" customWidth="1"/>
    <col min="2" max="2" width="39.85546875" style="74" customWidth="1"/>
    <col min="3" max="3" width="51.42578125" style="74" customWidth="1"/>
    <col min="4" max="4" width="20.42578125" style="74" customWidth="1"/>
    <col min="5" max="5" width="28" style="74" customWidth="1"/>
    <col min="6" max="6" width="9.140625" style="74"/>
    <col min="7" max="7" width="9.140625" style="74" customWidth="1"/>
    <col min="8" max="8" width="21.42578125" style="74" customWidth="1"/>
    <col min="9" max="9" width="23" style="74" customWidth="1"/>
    <col min="10" max="13" width="9.140625" style="74"/>
    <col min="14" max="14" width="10.42578125" style="74" bestFit="1" customWidth="1"/>
    <col min="15" max="16384" width="9.140625" style="74"/>
  </cols>
  <sheetData>
    <row r="1" spans="1:23" s="121" customFormat="1" ht="35.25" customHeight="1">
      <c r="A1" s="119" t="s">
        <v>1382</v>
      </c>
      <c r="B1" s="120"/>
      <c r="C1" s="120"/>
      <c r="D1" s="120"/>
      <c r="E1" s="120"/>
      <c r="F1" s="120"/>
      <c r="G1" s="120"/>
      <c r="H1" s="120"/>
      <c r="I1" s="120"/>
      <c r="J1" s="120"/>
      <c r="K1" s="120"/>
      <c r="L1" s="120"/>
      <c r="M1" s="120"/>
      <c r="N1" s="120"/>
      <c r="O1" s="120"/>
      <c r="P1" s="120"/>
      <c r="Q1" s="120"/>
      <c r="R1" s="120"/>
      <c r="S1" s="120"/>
      <c r="T1" s="120"/>
      <c r="U1" s="120"/>
      <c r="V1" s="120"/>
      <c r="W1" s="120"/>
    </row>
    <row r="2" spans="1:23" s="3" customFormat="1"/>
    <row r="3" spans="1:23" ht="21" customHeight="1">
      <c r="A3" s="390" t="s">
        <v>161</v>
      </c>
      <c r="B3" s="390"/>
      <c r="C3" s="390"/>
      <c r="D3" s="390"/>
      <c r="E3" s="390"/>
    </row>
    <row r="5" spans="1:23">
      <c r="A5" s="78"/>
      <c r="B5" s="190" t="s">
        <v>507</v>
      </c>
    </row>
    <row r="6" spans="1:23" ht="54" customHeight="1">
      <c r="A6" s="78" t="s">
        <v>391</v>
      </c>
      <c r="B6" s="204">
        <v>6.7499999999999999E-3</v>
      </c>
    </row>
    <row r="7" spans="1:23">
      <c r="A7" s="100"/>
      <c r="B7" s="205"/>
    </row>
    <row r="8" spans="1:23" ht="21" customHeight="1">
      <c r="A8" s="392" t="s">
        <v>11</v>
      </c>
      <c r="B8" s="392"/>
      <c r="C8" s="392"/>
      <c r="D8" s="392"/>
      <c r="E8" s="392"/>
    </row>
    <row r="9" spans="1:23">
      <c r="A9" s="81" t="s">
        <v>163</v>
      </c>
      <c r="B9" s="81"/>
      <c r="C9" s="81"/>
      <c r="D9" s="89"/>
      <c r="G9" s="206"/>
    </row>
    <row r="10" spans="1:23">
      <c r="A10" s="207" t="s">
        <v>1109</v>
      </c>
      <c r="B10" s="81"/>
      <c r="C10" s="81"/>
      <c r="D10" s="89"/>
      <c r="G10" s="206"/>
    </row>
    <row r="11" spans="1:23" s="99" customFormat="1" ht="39" customHeight="1">
      <c r="A11" s="208" t="s">
        <v>1013</v>
      </c>
      <c r="B11" s="209"/>
      <c r="C11" s="208" t="s">
        <v>1014</v>
      </c>
      <c r="D11" s="210" t="s">
        <v>1295</v>
      </c>
      <c r="E11" s="211" t="s">
        <v>19</v>
      </c>
      <c r="G11" s="74"/>
      <c r="H11" s="74"/>
      <c r="I11" s="74"/>
      <c r="J11" s="74"/>
    </row>
    <row r="12" spans="1:23" s="99" customFormat="1">
      <c r="A12" s="212" t="s">
        <v>129</v>
      </c>
      <c r="B12" s="212" t="s">
        <v>186</v>
      </c>
      <c r="C12" s="212" t="s">
        <v>1101</v>
      </c>
      <c r="D12" s="84">
        <v>0</v>
      </c>
      <c r="E12" s="213" t="s">
        <v>24</v>
      </c>
      <c r="G12" s="74"/>
      <c r="H12" s="74"/>
      <c r="I12" s="74"/>
      <c r="J12" s="74"/>
    </row>
    <row r="13" spans="1:23">
      <c r="A13" s="212" t="s">
        <v>129</v>
      </c>
      <c r="B13" s="212" t="s">
        <v>175</v>
      </c>
      <c r="C13" s="212" t="s">
        <v>1176</v>
      </c>
      <c r="D13" s="84">
        <v>0</v>
      </c>
      <c r="E13" s="213" t="s">
        <v>24</v>
      </c>
    </row>
    <row r="14" spans="1:23">
      <c r="A14" s="212" t="s">
        <v>171</v>
      </c>
      <c r="B14" s="212" t="s">
        <v>172</v>
      </c>
      <c r="C14" s="212" t="s">
        <v>1177</v>
      </c>
      <c r="D14" s="84">
        <v>0</v>
      </c>
      <c r="E14" s="213" t="s">
        <v>24</v>
      </c>
    </row>
    <row r="15" spans="1:23">
      <c r="A15" s="212" t="s">
        <v>177</v>
      </c>
      <c r="B15" s="212" t="s">
        <v>178</v>
      </c>
      <c r="C15" s="212" t="s">
        <v>1177</v>
      </c>
      <c r="D15" s="84">
        <v>0</v>
      </c>
      <c r="E15" s="213" t="s">
        <v>24</v>
      </c>
    </row>
    <row r="16" spans="1:23">
      <c r="A16" s="212" t="s">
        <v>184</v>
      </c>
      <c r="B16" s="212" t="s">
        <v>185</v>
      </c>
      <c r="C16" s="212" t="s">
        <v>1178</v>
      </c>
      <c r="D16" s="84">
        <v>0</v>
      </c>
      <c r="E16" s="213" t="s">
        <v>24</v>
      </c>
    </row>
    <row r="17" spans="1:10">
      <c r="A17" s="212" t="s">
        <v>129</v>
      </c>
      <c r="B17" s="212" t="s">
        <v>176</v>
      </c>
      <c r="C17" s="212" t="s">
        <v>1179</v>
      </c>
      <c r="D17" s="84">
        <v>0</v>
      </c>
      <c r="E17" s="213" t="s">
        <v>24</v>
      </c>
    </row>
    <row r="18" spans="1:10">
      <c r="A18" s="212" t="s">
        <v>129</v>
      </c>
      <c r="B18" s="212" t="s">
        <v>186</v>
      </c>
      <c r="C18" s="212" t="s">
        <v>1180</v>
      </c>
      <c r="D18" s="84">
        <v>0</v>
      </c>
      <c r="E18" s="213" t="s">
        <v>24</v>
      </c>
    </row>
    <row r="19" spans="1:10">
      <c r="A19" s="51" t="s">
        <v>22</v>
      </c>
      <c r="B19" s="51" t="s">
        <v>2</v>
      </c>
      <c r="C19" s="243" t="s">
        <v>1290</v>
      </c>
      <c r="D19" s="84">
        <v>0</v>
      </c>
      <c r="E19" s="51" t="s">
        <v>24</v>
      </c>
    </row>
    <row r="20" spans="1:10">
      <c r="A20" s="212" t="s">
        <v>129</v>
      </c>
      <c r="B20" s="212" t="s">
        <v>187</v>
      </c>
      <c r="C20" s="212" t="s">
        <v>1290</v>
      </c>
      <c r="D20" s="84">
        <v>0</v>
      </c>
      <c r="E20" s="213" t="s">
        <v>24</v>
      </c>
    </row>
    <row r="21" spans="1:10" s="99" customFormat="1">
      <c r="A21" s="51" t="s">
        <v>23</v>
      </c>
      <c r="B21" s="51" t="s">
        <v>0</v>
      </c>
      <c r="C21" s="243" t="s">
        <v>1099</v>
      </c>
      <c r="D21" s="84">
        <v>0.6</v>
      </c>
      <c r="E21" s="51" t="s">
        <v>24</v>
      </c>
      <c r="G21" s="74"/>
      <c r="H21" s="74"/>
      <c r="I21" s="74"/>
      <c r="J21" s="74"/>
    </row>
    <row r="22" spans="1:10" s="99" customFormat="1">
      <c r="A22" s="212" t="s">
        <v>129</v>
      </c>
      <c r="B22" s="212" t="s">
        <v>167</v>
      </c>
      <c r="C22" s="212" t="s">
        <v>1181</v>
      </c>
      <c r="D22" s="84">
        <v>0</v>
      </c>
      <c r="E22" s="213" t="s">
        <v>24</v>
      </c>
      <c r="G22" s="74"/>
      <c r="H22" s="74"/>
      <c r="I22" s="74"/>
      <c r="J22" s="74"/>
    </row>
    <row r="23" spans="1:10" s="99" customFormat="1">
      <c r="A23" s="212" t="s">
        <v>169</v>
      </c>
      <c r="B23" s="212" t="s">
        <v>170</v>
      </c>
      <c r="C23" s="212" t="s">
        <v>1181</v>
      </c>
      <c r="D23" s="84">
        <v>0.3</v>
      </c>
      <c r="E23" s="213" t="s">
        <v>24</v>
      </c>
      <c r="G23" s="74"/>
      <c r="H23" s="74"/>
      <c r="I23" s="74"/>
      <c r="J23" s="74"/>
    </row>
    <row r="24" spans="1:10" s="99" customFormat="1">
      <c r="A24" s="212" t="s">
        <v>188</v>
      </c>
      <c r="B24" s="212" t="s">
        <v>189</v>
      </c>
      <c r="C24" s="212" t="s">
        <v>1181</v>
      </c>
      <c r="D24" s="84">
        <v>0.1</v>
      </c>
      <c r="E24" s="213" t="s">
        <v>24</v>
      </c>
      <c r="G24" s="74"/>
      <c r="H24" s="74"/>
      <c r="I24" s="74"/>
      <c r="J24" s="74"/>
    </row>
    <row r="25" spans="1:10" s="99" customFormat="1">
      <c r="A25" s="212" t="s">
        <v>199</v>
      </c>
      <c r="B25" s="212" t="s">
        <v>200</v>
      </c>
      <c r="C25" s="212" t="s">
        <v>1181</v>
      </c>
      <c r="D25" s="84">
        <v>4.5</v>
      </c>
      <c r="E25" s="213" t="s">
        <v>24</v>
      </c>
      <c r="G25" s="74"/>
      <c r="H25" s="74"/>
      <c r="I25" s="74"/>
      <c r="J25" s="74"/>
    </row>
    <row r="26" spans="1:10" s="99" customFormat="1">
      <c r="A26" s="212" t="s">
        <v>504</v>
      </c>
      <c r="B26" s="212" t="s">
        <v>172</v>
      </c>
      <c r="C26" s="212" t="s">
        <v>1182</v>
      </c>
      <c r="D26" s="84">
        <v>0</v>
      </c>
      <c r="E26" s="213" t="s">
        <v>24</v>
      </c>
      <c r="G26" s="74"/>
      <c r="H26" s="74"/>
      <c r="I26" s="74"/>
      <c r="J26" s="74"/>
    </row>
    <row r="27" spans="1:10" s="99" customFormat="1">
      <c r="A27" s="212" t="s">
        <v>505</v>
      </c>
      <c r="B27" s="212" t="s">
        <v>178</v>
      </c>
      <c r="C27" s="212" t="s">
        <v>1182</v>
      </c>
      <c r="D27" s="84">
        <v>0</v>
      </c>
      <c r="E27" s="213" t="s">
        <v>24</v>
      </c>
      <c r="G27" s="74"/>
      <c r="H27" s="74"/>
      <c r="I27" s="74"/>
      <c r="J27" s="74"/>
    </row>
    <row r="28" spans="1:10" s="99" customFormat="1">
      <c r="A28" s="212" t="s">
        <v>164</v>
      </c>
      <c r="B28" s="212" t="s">
        <v>165</v>
      </c>
      <c r="C28" s="212" t="s">
        <v>1182</v>
      </c>
      <c r="D28" s="84">
        <v>0.1</v>
      </c>
      <c r="E28" s="213" t="s">
        <v>24</v>
      </c>
      <c r="G28" s="74"/>
      <c r="H28" s="74"/>
      <c r="I28" s="74"/>
      <c r="J28" s="74"/>
    </row>
    <row r="29" spans="1:10" s="99" customFormat="1">
      <c r="A29" s="212" t="s">
        <v>193</v>
      </c>
      <c r="B29" s="212" t="s">
        <v>194</v>
      </c>
      <c r="C29" s="212" t="s">
        <v>1182</v>
      </c>
      <c r="D29" s="84">
        <v>0</v>
      </c>
      <c r="E29" s="213" t="s">
        <v>24</v>
      </c>
      <c r="G29" s="74"/>
      <c r="H29" s="74"/>
      <c r="I29" s="74"/>
      <c r="J29" s="74"/>
    </row>
    <row r="30" spans="1:10" s="99" customFormat="1">
      <c r="A30" s="212" t="s">
        <v>195</v>
      </c>
      <c r="B30" s="212" t="s">
        <v>196</v>
      </c>
      <c r="C30" s="212" t="s">
        <v>1182</v>
      </c>
      <c r="D30" s="84">
        <v>0</v>
      </c>
      <c r="E30" s="213" t="s">
        <v>24</v>
      </c>
      <c r="G30" s="74"/>
      <c r="H30" s="74"/>
      <c r="I30" s="74"/>
      <c r="J30" s="74"/>
    </row>
    <row r="31" spans="1:10" s="99" customFormat="1">
      <c r="A31" s="212" t="s">
        <v>197</v>
      </c>
      <c r="B31" s="212" t="s">
        <v>198</v>
      </c>
      <c r="C31" s="212" t="s">
        <v>1182</v>
      </c>
      <c r="D31" s="84">
        <v>0</v>
      </c>
      <c r="E31" s="213" t="s">
        <v>24</v>
      </c>
      <c r="G31" s="74"/>
      <c r="H31" s="74"/>
      <c r="I31" s="74"/>
      <c r="J31" s="74"/>
    </row>
    <row r="32" spans="1:10" s="99" customFormat="1">
      <c r="A32" s="212" t="s">
        <v>129</v>
      </c>
      <c r="B32" s="212" t="s">
        <v>175</v>
      </c>
      <c r="C32" s="212" t="s">
        <v>1183</v>
      </c>
      <c r="D32" s="84">
        <v>0</v>
      </c>
      <c r="E32" s="213" t="s">
        <v>24</v>
      </c>
      <c r="G32" s="74"/>
      <c r="H32" s="74"/>
      <c r="I32" s="74"/>
      <c r="J32" s="74"/>
    </row>
    <row r="33" spans="1:10" s="99" customFormat="1">
      <c r="A33" s="212" t="s">
        <v>169</v>
      </c>
      <c r="B33" s="212" t="s">
        <v>170</v>
      </c>
      <c r="C33" s="212" t="s">
        <v>1184</v>
      </c>
      <c r="D33" s="84">
        <v>0.3</v>
      </c>
      <c r="E33" s="213" t="s">
        <v>24</v>
      </c>
      <c r="G33" s="74"/>
      <c r="H33" s="74"/>
      <c r="I33" s="74"/>
      <c r="J33" s="74"/>
    </row>
    <row r="34" spans="1:10" s="99" customFormat="1">
      <c r="A34" s="212" t="s">
        <v>188</v>
      </c>
      <c r="B34" s="212" t="s">
        <v>189</v>
      </c>
      <c r="C34" s="212" t="s">
        <v>1184</v>
      </c>
      <c r="D34" s="84">
        <v>0.1</v>
      </c>
      <c r="E34" s="213" t="s">
        <v>24</v>
      </c>
      <c r="G34" s="74"/>
      <c r="H34" s="74"/>
      <c r="I34" s="74"/>
      <c r="J34" s="74"/>
    </row>
    <row r="35" spans="1:10" s="99" customFormat="1">
      <c r="A35" s="212" t="s">
        <v>199</v>
      </c>
      <c r="B35" s="212" t="s">
        <v>200</v>
      </c>
      <c r="C35" s="212" t="s">
        <v>1184</v>
      </c>
      <c r="D35" s="84">
        <v>4.5</v>
      </c>
      <c r="E35" s="213" t="s">
        <v>24</v>
      </c>
      <c r="G35" s="74"/>
      <c r="H35" s="74"/>
      <c r="I35" s="74"/>
      <c r="J35" s="74"/>
    </row>
    <row r="36" spans="1:10" s="99" customFormat="1">
      <c r="A36" s="212" t="s">
        <v>181</v>
      </c>
      <c r="B36" s="212" t="s">
        <v>182</v>
      </c>
      <c r="C36" s="212" t="s">
        <v>1175</v>
      </c>
      <c r="D36" s="84">
        <v>0</v>
      </c>
      <c r="E36" s="213" t="s">
        <v>24</v>
      </c>
      <c r="G36" s="74"/>
      <c r="H36" s="74"/>
      <c r="I36" s="74"/>
      <c r="J36" s="74"/>
    </row>
    <row r="37" spans="1:10" s="99" customFormat="1">
      <c r="A37" s="212" t="s">
        <v>179</v>
      </c>
      <c r="B37" s="212" t="s">
        <v>180</v>
      </c>
      <c r="C37" s="212" t="s">
        <v>1185</v>
      </c>
      <c r="D37" s="84">
        <v>0.9</v>
      </c>
      <c r="E37" s="213" t="s">
        <v>24</v>
      </c>
      <c r="G37" s="74"/>
      <c r="H37" s="74"/>
      <c r="I37" s="74"/>
      <c r="J37" s="74"/>
    </row>
    <row r="38" spans="1:10" s="99" customFormat="1">
      <c r="A38" s="51" t="s">
        <v>20</v>
      </c>
      <c r="B38" s="51" t="s">
        <v>21</v>
      </c>
      <c r="C38" s="238" t="s">
        <v>1196</v>
      </c>
      <c r="D38" s="84">
        <v>1.7</v>
      </c>
      <c r="E38" s="51" t="s">
        <v>24</v>
      </c>
      <c r="G38" s="74"/>
      <c r="H38" s="74"/>
      <c r="I38" s="74"/>
      <c r="J38" s="74"/>
    </row>
    <row r="39" spans="1:10" s="99" customFormat="1">
      <c r="A39" s="212" t="s">
        <v>173</v>
      </c>
      <c r="B39" s="212" t="s">
        <v>174</v>
      </c>
      <c r="C39" s="238" t="s">
        <v>1196</v>
      </c>
      <c r="D39" s="84">
        <v>0.2</v>
      </c>
      <c r="E39" s="213" t="s">
        <v>24</v>
      </c>
      <c r="G39" s="74"/>
      <c r="H39" s="74"/>
      <c r="I39" s="74"/>
      <c r="J39" s="74"/>
    </row>
    <row r="40" spans="1:10" s="99" customFormat="1">
      <c r="A40" s="212" t="s">
        <v>190</v>
      </c>
      <c r="B40" s="212" t="s">
        <v>191</v>
      </c>
      <c r="C40" s="238" t="s">
        <v>1196</v>
      </c>
      <c r="D40" s="84">
        <v>0</v>
      </c>
      <c r="E40" s="213" t="s">
        <v>24</v>
      </c>
      <c r="G40" s="74"/>
      <c r="H40" s="74"/>
      <c r="I40" s="74"/>
      <c r="J40" s="74"/>
    </row>
    <row r="41" spans="1:10" s="99" customFormat="1">
      <c r="A41" s="212" t="s">
        <v>129</v>
      </c>
      <c r="B41" s="212" t="s">
        <v>192</v>
      </c>
      <c r="C41" s="238" t="s">
        <v>1196</v>
      </c>
      <c r="D41" s="84">
        <v>0</v>
      </c>
      <c r="E41" s="213" t="s">
        <v>24</v>
      </c>
      <c r="G41" s="74"/>
      <c r="H41" s="74"/>
      <c r="I41" s="74"/>
      <c r="J41" s="74"/>
    </row>
    <row r="42" spans="1:10" s="99" customFormat="1">
      <c r="B42" s="214"/>
      <c r="C42" s="248" t="s">
        <v>15</v>
      </c>
      <c r="D42" s="6">
        <f>SUM(D12:D41)</f>
        <v>13.299999999999999</v>
      </c>
      <c r="E42" s="74"/>
      <c r="G42" s="74"/>
      <c r="H42" s="74"/>
      <c r="I42" s="74"/>
      <c r="J42" s="74"/>
    </row>
    <row r="43" spans="1:10">
      <c r="C43" s="3" t="s">
        <v>666</v>
      </c>
      <c r="D43" s="122">
        <f>D42-D23-D32-D18-D24-D35</f>
        <v>8.3999999999999986</v>
      </c>
    </row>
    <row r="44" spans="1:10">
      <c r="A44" s="10" t="s">
        <v>1110</v>
      </c>
      <c r="C44" s="11"/>
      <c r="D44" s="87"/>
    </row>
    <row r="45" spans="1:10" ht="42" customHeight="1">
      <c r="A45" s="208" t="s">
        <v>1013</v>
      </c>
      <c r="B45" s="209"/>
      <c r="C45" s="208" t="s">
        <v>1014</v>
      </c>
      <c r="D45" s="210" t="s">
        <v>1295</v>
      </c>
      <c r="E45" s="211" t="s">
        <v>19</v>
      </c>
    </row>
    <row r="46" spans="1:10" s="99" customFormat="1">
      <c r="A46" s="212" t="s">
        <v>27</v>
      </c>
      <c r="B46" s="212" t="s">
        <v>28</v>
      </c>
      <c r="C46" s="212" t="s">
        <v>1003</v>
      </c>
      <c r="D46" s="215">
        <v>0.7</v>
      </c>
      <c r="E46" s="213" t="s">
        <v>24</v>
      </c>
      <c r="G46" s="74"/>
      <c r="H46" s="74"/>
      <c r="I46" s="74"/>
      <c r="J46" s="74"/>
    </row>
    <row r="47" spans="1:10">
      <c r="A47" s="51" t="s">
        <v>29</v>
      </c>
      <c r="B47" s="51" t="s">
        <v>30</v>
      </c>
      <c r="C47" s="212" t="s">
        <v>1003</v>
      </c>
      <c r="D47" s="84">
        <v>0</v>
      </c>
      <c r="E47" s="213" t="s">
        <v>24</v>
      </c>
    </row>
    <row r="48" spans="1:10">
      <c r="A48" s="212" t="s">
        <v>31</v>
      </c>
      <c r="B48" s="212" t="s">
        <v>32</v>
      </c>
      <c r="C48" s="212" t="s">
        <v>1004</v>
      </c>
      <c r="D48" s="215">
        <v>0.8</v>
      </c>
      <c r="E48" s="213" t="s">
        <v>24</v>
      </c>
    </row>
    <row r="49" spans="1:5">
      <c r="A49" s="212" t="s">
        <v>33</v>
      </c>
      <c r="B49" s="212" t="s">
        <v>34</v>
      </c>
      <c r="C49" s="212" t="s">
        <v>1004</v>
      </c>
      <c r="D49" s="215">
        <v>0.6</v>
      </c>
      <c r="E49" s="213" t="s">
        <v>24</v>
      </c>
    </row>
    <row r="50" spans="1:5">
      <c r="A50" s="51" t="s">
        <v>35</v>
      </c>
      <c r="B50" s="51" t="s">
        <v>36</v>
      </c>
      <c r="C50" s="243" t="s">
        <v>1083</v>
      </c>
      <c r="D50" s="88">
        <v>0.5</v>
      </c>
      <c r="E50" s="213" t="s">
        <v>24</v>
      </c>
    </row>
    <row r="51" spans="1:5">
      <c r="A51" s="51" t="s">
        <v>37</v>
      </c>
      <c r="B51" s="51" t="s">
        <v>38</v>
      </c>
      <c r="C51" s="243" t="s">
        <v>1083</v>
      </c>
      <c r="D51" s="88">
        <v>0</v>
      </c>
      <c r="E51" s="213" t="s">
        <v>24</v>
      </c>
    </row>
    <row r="52" spans="1:5">
      <c r="A52" s="51" t="s">
        <v>39</v>
      </c>
      <c r="B52" s="51" t="s">
        <v>40</v>
      </c>
      <c r="C52" s="243" t="s">
        <v>1083</v>
      </c>
      <c r="D52" s="88">
        <v>0</v>
      </c>
      <c r="E52" s="213" t="s">
        <v>24</v>
      </c>
    </row>
    <row r="53" spans="1:5">
      <c r="A53" s="212" t="s">
        <v>206</v>
      </c>
      <c r="B53" s="212" t="s">
        <v>207</v>
      </c>
      <c r="C53" s="212" t="s">
        <v>1073</v>
      </c>
      <c r="D53" s="215">
        <v>1.4</v>
      </c>
      <c r="E53" s="213" t="s">
        <v>24</v>
      </c>
    </row>
    <row r="54" spans="1:5">
      <c r="A54" s="212" t="s">
        <v>41</v>
      </c>
      <c r="B54" s="212" t="s">
        <v>42</v>
      </c>
      <c r="C54" s="212" t="s">
        <v>1073</v>
      </c>
      <c r="D54" s="215">
        <v>0.7</v>
      </c>
      <c r="E54" s="213" t="s">
        <v>24</v>
      </c>
    </row>
    <row r="55" spans="1:5">
      <c r="A55" s="212" t="s">
        <v>206</v>
      </c>
      <c r="B55" s="212" t="s">
        <v>207</v>
      </c>
      <c r="C55" s="212" t="s">
        <v>1072</v>
      </c>
      <c r="D55" s="215">
        <v>1.4</v>
      </c>
      <c r="E55" s="213" t="s">
        <v>24</v>
      </c>
    </row>
    <row r="56" spans="1:5">
      <c r="A56" s="212" t="s">
        <v>41</v>
      </c>
      <c r="B56" s="212" t="s">
        <v>42</v>
      </c>
      <c r="C56" s="212" t="s">
        <v>1072</v>
      </c>
      <c r="D56" s="215">
        <v>0.7</v>
      </c>
      <c r="E56" s="213" t="s">
        <v>24</v>
      </c>
    </row>
    <row r="57" spans="1:5">
      <c r="A57" s="212" t="s">
        <v>210</v>
      </c>
      <c r="B57" s="212" t="s">
        <v>211</v>
      </c>
      <c r="C57" s="212" t="s">
        <v>1071</v>
      </c>
      <c r="D57" s="215">
        <v>0.1</v>
      </c>
      <c r="E57" s="213" t="s">
        <v>24</v>
      </c>
    </row>
    <row r="58" spans="1:5">
      <c r="A58" s="212" t="s">
        <v>202</v>
      </c>
      <c r="B58" s="212" t="s">
        <v>203</v>
      </c>
      <c r="C58" s="212" t="s">
        <v>1071</v>
      </c>
      <c r="D58" s="215">
        <v>0.2</v>
      </c>
      <c r="E58" s="213" t="s">
        <v>24</v>
      </c>
    </row>
    <row r="59" spans="1:5">
      <c r="A59" s="212" t="s">
        <v>204</v>
      </c>
      <c r="B59" s="212" t="s">
        <v>205</v>
      </c>
      <c r="C59" s="212" t="s">
        <v>1040</v>
      </c>
      <c r="D59" s="215">
        <v>0.1</v>
      </c>
      <c r="E59" s="213" t="s">
        <v>24</v>
      </c>
    </row>
    <row r="60" spans="1:5">
      <c r="A60" s="212" t="s">
        <v>658</v>
      </c>
      <c r="B60" s="212" t="s">
        <v>201</v>
      </c>
      <c r="C60" s="212" t="s">
        <v>1040</v>
      </c>
      <c r="D60" s="215">
        <v>0.1</v>
      </c>
      <c r="E60" s="213" t="s">
        <v>24</v>
      </c>
    </row>
    <row r="61" spans="1:5">
      <c r="A61" s="212" t="s">
        <v>43</v>
      </c>
      <c r="B61" s="212" t="s">
        <v>44</v>
      </c>
      <c r="C61" s="212" t="s">
        <v>1076</v>
      </c>
      <c r="D61" s="215">
        <v>0</v>
      </c>
      <c r="E61" s="213" t="s">
        <v>24</v>
      </c>
    </row>
    <row r="62" spans="1:5">
      <c r="A62" s="51" t="s">
        <v>45</v>
      </c>
      <c r="B62" s="51" t="s">
        <v>46</v>
      </c>
      <c r="C62" s="243" t="s">
        <v>1006</v>
      </c>
      <c r="D62" s="88">
        <v>0.2</v>
      </c>
      <c r="E62" s="213" t="s">
        <v>24</v>
      </c>
    </row>
    <row r="63" spans="1:5">
      <c r="A63" s="212" t="s">
        <v>47</v>
      </c>
      <c r="B63" s="212" t="s">
        <v>48</v>
      </c>
      <c r="C63" s="212" t="s">
        <v>1041</v>
      </c>
      <c r="D63" s="215">
        <v>16.7</v>
      </c>
      <c r="E63" s="213" t="s">
        <v>24</v>
      </c>
    </row>
    <row r="64" spans="1:5">
      <c r="A64" s="212" t="s">
        <v>51</v>
      </c>
      <c r="B64" s="212" t="s">
        <v>52</v>
      </c>
      <c r="C64" s="212" t="s">
        <v>1299</v>
      </c>
      <c r="D64" s="215">
        <v>0.8</v>
      </c>
      <c r="E64" s="213" t="s">
        <v>24</v>
      </c>
    </row>
    <row r="65" spans="1:5">
      <c r="A65" s="212" t="s">
        <v>53</v>
      </c>
      <c r="B65" s="212" t="s">
        <v>54</v>
      </c>
      <c r="C65" s="212" t="s">
        <v>1299</v>
      </c>
      <c r="D65" s="215">
        <v>0.2</v>
      </c>
      <c r="E65" s="213" t="s">
        <v>24</v>
      </c>
    </row>
    <row r="66" spans="1:5">
      <c r="A66" s="212" t="s">
        <v>55</v>
      </c>
      <c r="B66" s="212" t="s">
        <v>56</v>
      </c>
      <c r="C66" s="212" t="s">
        <v>1299</v>
      </c>
      <c r="D66" s="215">
        <v>0.3</v>
      </c>
      <c r="E66" s="213" t="s">
        <v>24</v>
      </c>
    </row>
    <row r="67" spans="1:5">
      <c r="A67" s="212" t="s">
        <v>57</v>
      </c>
      <c r="B67" s="212" t="s">
        <v>58</v>
      </c>
      <c r="C67" s="212" t="s">
        <v>1299</v>
      </c>
      <c r="D67" s="215">
        <v>0.3</v>
      </c>
      <c r="E67" s="213" t="s">
        <v>24</v>
      </c>
    </row>
    <row r="68" spans="1:5">
      <c r="A68" s="212" t="s">
        <v>72</v>
      </c>
      <c r="B68" s="212" t="s">
        <v>73</v>
      </c>
      <c r="C68" s="212" t="s">
        <v>1299</v>
      </c>
      <c r="D68" s="215">
        <v>0.3</v>
      </c>
      <c r="E68" s="213" t="s">
        <v>24</v>
      </c>
    </row>
    <row r="69" spans="1:5">
      <c r="A69" s="212" t="s">
        <v>74</v>
      </c>
      <c r="B69" s="212" t="s">
        <v>75</v>
      </c>
      <c r="C69" s="212" t="s">
        <v>1299</v>
      </c>
      <c r="D69" s="215">
        <v>0.3</v>
      </c>
      <c r="E69" s="213" t="s">
        <v>24</v>
      </c>
    </row>
    <row r="70" spans="1:5">
      <c r="A70" s="212" t="s">
        <v>76</v>
      </c>
      <c r="B70" s="212" t="s">
        <v>77</v>
      </c>
      <c r="C70" s="212" t="s">
        <v>1299</v>
      </c>
      <c r="D70" s="215">
        <v>0.3</v>
      </c>
      <c r="E70" s="213" t="s">
        <v>24</v>
      </c>
    </row>
    <row r="71" spans="1:5">
      <c r="A71" s="212" t="s">
        <v>78</v>
      </c>
      <c r="B71" s="212" t="s">
        <v>79</v>
      </c>
      <c r="C71" s="212" t="s">
        <v>1299</v>
      </c>
      <c r="D71" s="215">
        <v>0.2</v>
      </c>
      <c r="E71" s="213" t="s">
        <v>24</v>
      </c>
    </row>
    <row r="72" spans="1:5">
      <c r="A72" s="212" t="s">
        <v>1364</v>
      </c>
      <c r="B72" s="212" t="s">
        <v>80</v>
      </c>
      <c r="C72" s="212" t="s">
        <v>1299</v>
      </c>
      <c r="D72" s="215">
        <v>0.3</v>
      </c>
      <c r="E72" s="213" t="s">
        <v>24</v>
      </c>
    </row>
    <row r="73" spans="1:5">
      <c r="A73" s="212" t="s">
        <v>85</v>
      </c>
      <c r="B73" s="212" t="s">
        <v>86</v>
      </c>
      <c r="C73" s="212" t="s">
        <v>1299</v>
      </c>
      <c r="D73" s="215">
        <v>0.1</v>
      </c>
      <c r="E73" s="213" t="s">
        <v>24</v>
      </c>
    </row>
    <row r="74" spans="1:5">
      <c r="A74" s="212" t="s">
        <v>87</v>
      </c>
      <c r="B74" s="212" t="s">
        <v>88</v>
      </c>
      <c r="C74" s="212" t="s">
        <v>1299</v>
      </c>
      <c r="D74" s="215">
        <v>0.1</v>
      </c>
      <c r="E74" s="213" t="s">
        <v>24</v>
      </c>
    </row>
    <row r="75" spans="1:5">
      <c r="A75" s="212" t="s">
        <v>89</v>
      </c>
      <c r="B75" s="212" t="s">
        <v>90</v>
      </c>
      <c r="C75" s="212" t="s">
        <v>1299</v>
      </c>
      <c r="D75" s="215">
        <v>0.1</v>
      </c>
      <c r="E75" s="213" t="s">
        <v>24</v>
      </c>
    </row>
    <row r="76" spans="1:5">
      <c r="A76" s="212" t="s">
        <v>91</v>
      </c>
      <c r="B76" s="212" t="s">
        <v>92</v>
      </c>
      <c r="C76" s="212" t="s">
        <v>1299</v>
      </c>
      <c r="D76" s="215">
        <v>0.1</v>
      </c>
      <c r="E76" s="213" t="s">
        <v>24</v>
      </c>
    </row>
    <row r="77" spans="1:5">
      <c r="A77" s="51" t="s">
        <v>49</v>
      </c>
      <c r="B77" s="51" t="s">
        <v>50</v>
      </c>
      <c r="C77" s="212" t="s">
        <v>1299</v>
      </c>
      <c r="D77" s="88">
        <v>0</v>
      </c>
      <c r="E77" s="213" t="s">
        <v>24</v>
      </c>
    </row>
    <row r="78" spans="1:5">
      <c r="A78" s="51" t="s">
        <v>59</v>
      </c>
      <c r="B78" s="51" t="s">
        <v>60</v>
      </c>
      <c r="C78" s="212" t="s">
        <v>1299</v>
      </c>
      <c r="D78" s="88">
        <v>0</v>
      </c>
      <c r="E78" s="213" t="s">
        <v>24</v>
      </c>
    </row>
    <row r="79" spans="1:5">
      <c r="A79" s="51" t="s">
        <v>1363</v>
      </c>
      <c r="B79" s="51" t="s">
        <v>61</v>
      </c>
      <c r="C79" s="212" t="s">
        <v>1299</v>
      </c>
      <c r="D79" s="88">
        <v>0</v>
      </c>
      <c r="E79" s="213" t="s">
        <v>24</v>
      </c>
    </row>
    <row r="80" spans="1:5">
      <c r="A80" s="51" t="s">
        <v>62</v>
      </c>
      <c r="B80" s="51" t="s">
        <v>63</v>
      </c>
      <c r="C80" s="212" t="s">
        <v>1299</v>
      </c>
      <c r="D80" s="88">
        <v>0</v>
      </c>
      <c r="E80" s="213" t="s">
        <v>24</v>
      </c>
    </row>
    <row r="81" spans="1:10">
      <c r="A81" s="51" t="s">
        <v>64</v>
      </c>
      <c r="B81" s="51" t="s">
        <v>65</v>
      </c>
      <c r="C81" s="212" t="s">
        <v>1299</v>
      </c>
      <c r="D81" s="88">
        <v>0</v>
      </c>
      <c r="E81" s="213" t="s">
        <v>24</v>
      </c>
    </row>
    <row r="82" spans="1:10">
      <c r="A82" s="51" t="s">
        <v>66</v>
      </c>
      <c r="B82" s="51" t="s">
        <v>67</v>
      </c>
      <c r="C82" s="212" t="s">
        <v>1299</v>
      </c>
      <c r="D82" s="88">
        <v>0</v>
      </c>
      <c r="E82" s="213" t="s">
        <v>24</v>
      </c>
    </row>
    <row r="83" spans="1:10">
      <c r="A83" s="51" t="s">
        <v>68</v>
      </c>
      <c r="B83" s="51" t="s">
        <v>69</v>
      </c>
      <c r="C83" s="212" t="s">
        <v>1299</v>
      </c>
      <c r="D83" s="88">
        <v>0</v>
      </c>
      <c r="E83" s="213" t="s">
        <v>24</v>
      </c>
    </row>
    <row r="84" spans="1:10">
      <c r="A84" s="51" t="s">
        <v>70</v>
      </c>
      <c r="B84" s="51" t="s">
        <v>71</v>
      </c>
      <c r="C84" s="212" t="s">
        <v>1299</v>
      </c>
      <c r="D84" s="88">
        <v>0</v>
      </c>
      <c r="E84" s="213" t="s">
        <v>24</v>
      </c>
    </row>
    <row r="85" spans="1:10">
      <c r="A85" s="51" t="s">
        <v>81</v>
      </c>
      <c r="B85" s="51" t="s">
        <v>82</v>
      </c>
      <c r="C85" s="212" t="s">
        <v>1299</v>
      </c>
      <c r="D85" s="88">
        <v>0</v>
      </c>
      <c r="E85" s="213" t="s">
        <v>24</v>
      </c>
    </row>
    <row r="86" spans="1:10">
      <c r="A86" s="51" t="s">
        <v>83</v>
      </c>
      <c r="B86" s="51" t="s">
        <v>84</v>
      </c>
      <c r="C86" s="212" t="s">
        <v>1299</v>
      </c>
      <c r="D86" s="88">
        <v>0</v>
      </c>
      <c r="E86" s="213" t="s">
        <v>24</v>
      </c>
    </row>
    <row r="87" spans="1:10">
      <c r="A87" s="212" t="s">
        <v>43</v>
      </c>
      <c r="B87" s="212" t="s">
        <v>44</v>
      </c>
      <c r="C87" s="212" t="s">
        <v>995</v>
      </c>
      <c r="D87" s="215">
        <v>0</v>
      </c>
      <c r="E87" s="213" t="s">
        <v>24</v>
      </c>
    </row>
    <row r="88" spans="1:10">
      <c r="A88" s="212" t="s">
        <v>93</v>
      </c>
      <c r="B88" s="212" t="s">
        <v>94</v>
      </c>
      <c r="C88" s="212" t="s">
        <v>1074</v>
      </c>
      <c r="D88" s="215">
        <v>0.1</v>
      </c>
      <c r="E88" s="213" t="s">
        <v>24</v>
      </c>
    </row>
    <row r="89" spans="1:10">
      <c r="A89" s="212" t="s">
        <v>95</v>
      </c>
      <c r="B89" s="212" t="s">
        <v>96</v>
      </c>
      <c r="C89" s="212" t="s">
        <v>1074</v>
      </c>
      <c r="D89" s="215">
        <v>0.1</v>
      </c>
      <c r="E89" s="213" t="s">
        <v>24</v>
      </c>
    </row>
    <row r="90" spans="1:10">
      <c r="A90" s="212" t="s">
        <v>97</v>
      </c>
      <c r="B90" s="212" t="s">
        <v>98</v>
      </c>
      <c r="C90" s="212" t="s">
        <v>1081</v>
      </c>
      <c r="D90" s="215">
        <v>2.9</v>
      </c>
      <c r="E90" s="213" t="s">
        <v>24</v>
      </c>
    </row>
    <row r="91" spans="1:10">
      <c r="A91" s="212" t="s">
        <v>208</v>
      </c>
      <c r="B91" s="212" t="s">
        <v>209</v>
      </c>
      <c r="C91" s="212" t="s">
        <v>1081</v>
      </c>
      <c r="D91" s="215">
        <v>9.9</v>
      </c>
      <c r="E91" s="213" t="s">
        <v>24</v>
      </c>
    </row>
    <row r="92" spans="1:10">
      <c r="A92" s="212" t="s">
        <v>212</v>
      </c>
      <c r="B92" s="212" t="s">
        <v>213</v>
      </c>
      <c r="C92" s="212" t="s">
        <v>1075</v>
      </c>
      <c r="D92" s="215">
        <v>0.2</v>
      </c>
      <c r="E92" s="213" t="s">
        <v>24</v>
      </c>
    </row>
    <row r="93" spans="1:10">
      <c r="A93" s="212" t="s">
        <v>43</v>
      </c>
      <c r="B93" s="212" t="s">
        <v>44</v>
      </c>
      <c r="C93" s="212" t="s">
        <v>1075</v>
      </c>
      <c r="D93" s="215">
        <v>0</v>
      </c>
      <c r="E93" s="213" t="s">
        <v>24</v>
      </c>
    </row>
    <row r="94" spans="1:10">
      <c r="A94" s="212" t="s">
        <v>97</v>
      </c>
      <c r="B94" s="212" t="s">
        <v>98</v>
      </c>
      <c r="C94" s="212" t="s">
        <v>1070</v>
      </c>
      <c r="D94" s="215">
        <v>2.9</v>
      </c>
      <c r="E94" s="213" t="s">
        <v>24</v>
      </c>
    </row>
    <row r="95" spans="1:10">
      <c r="A95" s="28"/>
      <c r="B95" s="28"/>
      <c r="C95" s="249" t="s">
        <v>15</v>
      </c>
      <c r="D95" s="6">
        <f>SUM(D46:D94)</f>
        <v>43.70000000000001</v>
      </c>
      <c r="E95" s="100"/>
    </row>
    <row r="96" spans="1:10" s="99" customFormat="1">
      <c r="A96" s="100"/>
      <c r="B96" s="100"/>
      <c r="C96" s="250" t="s">
        <v>666</v>
      </c>
      <c r="D96" s="122">
        <f>D95-D55-D56-D61-D87-D90</f>
        <v>38.70000000000001</v>
      </c>
      <c r="E96" s="100"/>
      <c r="G96" s="74"/>
      <c r="H96" s="74"/>
      <c r="I96" s="74"/>
      <c r="J96" s="74"/>
    </row>
    <row r="97" spans="1:10" s="99" customFormat="1" ht="84" customHeight="1">
      <c r="A97" s="411" t="s">
        <v>1362</v>
      </c>
      <c r="B97" s="411"/>
      <c r="C97" s="411"/>
      <c r="D97" s="411"/>
      <c r="E97" s="411"/>
      <c r="G97" s="74"/>
      <c r="H97" s="74"/>
      <c r="I97" s="74"/>
      <c r="J97" s="74"/>
    </row>
    <row r="98" spans="1:10" s="99" customFormat="1">
      <c r="A98" s="100"/>
      <c r="B98" s="100"/>
      <c r="C98" s="250"/>
      <c r="D98" s="122"/>
      <c r="E98" s="100"/>
      <c r="G98" s="74"/>
      <c r="H98" s="74"/>
      <c r="I98" s="74"/>
      <c r="J98" s="74"/>
    </row>
    <row r="99" spans="1:10" s="99" customFormat="1">
      <c r="A99" s="100"/>
      <c r="B99" s="100"/>
      <c r="C99" s="250"/>
      <c r="D99" s="122"/>
      <c r="E99" s="100"/>
      <c r="G99" s="74"/>
      <c r="H99" s="74"/>
      <c r="I99" s="74"/>
      <c r="J99" s="74"/>
    </row>
    <row r="100" spans="1:10" s="99" customFormat="1">
      <c r="A100" s="10" t="s">
        <v>1111</v>
      </c>
      <c r="C100" s="194"/>
      <c r="D100" s="127"/>
      <c r="G100" s="74"/>
      <c r="H100" s="74"/>
      <c r="I100" s="74"/>
      <c r="J100" s="74"/>
    </row>
    <row r="101" spans="1:10" ht="42" customHeight="1">
      <c r="A101" s="208" t="s">
        <v>1013</v>
      </c>
      <c r="B101" s="209"/>
      <c r="C101" s="208" t="s">
        <v>1014</v>
      </c>
      <c r="D101" s="210" t="s">
        <v>1295</v>
      </c>
      <c r="E101" s="211" t="s">
        <v>19</v>
      </c>
    </row>
    <row r="102" spans="1:10" s="99" customFormat="1">
      <c r="A102" s="212" t="s">
        <v>229</v>
      </c>
      <c r="B102" s="212" t="s">
        <v>230</v>
      </c>
      <c r="C102" s="212" t="s">
        <v>1296</v>
      </c>
      <c r="D102" s="84">
        <v>0</v>
      </c>
      <c r="E102" s="213" t="s">
        <v>24</v>
      </c>
      <c r="G102" s="74"/>
      <c r="H102" s="74"/>
      <c r="I102" s="74"/>
      <c r="J102" s="74"/>
    </row>
    <row r="103" spans="1:10" s="99" customFormat="1">
      <c r="A103" s="212" t="s">
        <v>231</v>
      </c>
      <c r="B103" s="212" t="s">
        <v>232</v>
      </c>
      <c r="C103" s="212" t="s">
        <v>1296</v>
      </c>
      <c r="D103" s="84">
        <v>0</v>
      </c>
      <c r="E103" s="213" t="s">
        <v>24</v>
      </c>
      <c r="G103" s="74"/>
      <c r="H103" s="74"/>
      <c r="I103" s="74"/>
      <c r="J103" s="74"/>
    </row>
    <row r="104" spans="1:10" s="99" customFormat="1">
      <c r="A104" s="212" t="s">
        <v>221</v>
      </c>
      <c r="B104" s="212" t="s">
        <v>222</v>
      </c>
      <c r="C104" s="212" t="s">
        <v>1297</v>
      </c>
      <c r="D104" s="84">
        <v>0</v>
      </c>
      <c r="E104" s="213" t="s">
        <v>24</v>
      </c>
      <c r="G104" s="74"/>
      <c r="H104" s="74"/>
      <c r="I104" s="74"/>
      <c r="J104" s="74"/>
    </row>
    <row r="105" spans="1:10" s="99" customFormat="1">
      <c r="A105" s="212" t="s">
        <v>166</v>
      </c>
      <c r="B105" s="212" t="s">
        <v>233</v>
      </c>
      <c r="C105" s="212" t="s">
        <v>1297</v>
      </c>
      <c r="D105" s="84">
        <v>0</v>
      </c>
      <c r="E105" s="213" t="s">
        <v>24</v>
      </c>
      <c r="G105" s="74"/>
      <c r="H105" s="74"/>
      <c r="I105" s="74"/>
      <c r="J105" s="74"/>
    </row>
    <row r="106" spans="1:10" s="99" customFormat="1">
      <c r="A106" s="212" t="s">
        <v>234</v>
      </c>
      <c r="B106" s="212" t="s">
        <v>235</v>
      </c>
      <c r="C106" s="212" t="s">
        <v>1164</v>
      </c>
      <c r="D106" s="84">
        <v>0</v>
      </c>
      <c r="E106" s="213" t="s">
        <v>24</v>
      </c>
      <c r="G106" s="74"/>
      <c r="H106" s="74"/>
      <c r="I106" s="74"/>
      <c r="J106" s="74"/>
    </row>
    <row r="107" spans="1:10" s="99" customFormat="1">
      <c r="A107" s="212" t="s">
        <v>166</v>
      </c>
      <c r="B107" s="212" t="s">
        <v>242</v>
      </c>
      <c r="C107" s="212" t="s">
        <v>1298</v>
      </c>
      <c r="D107" s="84">
        <v>0</v>
      </c>
      <c r="E107" s="213" t="s">
        <v>24</v>
      </c>
      <c r="G107" s="74"/>
      <c r="H107" s="74"/>
      <c r="I107" s="74"/>
      <c r="J107" s="74"/>
    </row>
    <row r="108" spans="1:10" s="99" customFormat="1">
      <c r="A108" s="212" t="s">
        <v>219</v>
      </c>
      <c r="B108" s="212" t="s">
        <v>220</v>
      </c>
      <c r="C108" s="212" t="s">
        <v>1165</v>
      </c>
      <c r="D108" s="84">
        <v>0.1</v>
      </c>
      <c r="E108" s="213" t="s">
        <v>24</v>
      </c>
      <c r="G108" s="74"/>
      <c r="H108" s="74"/>
      <c r="I108" s="74"/>
      <c r="J108" s="74"/>
    </row>
    <row r="109" spans="1:10" s="99" customFormat="1">
      <c r="A109" s="212" t="s">
        <v>226</v>
      </c>
      <c r="B109" s="212" t="s">
        <v>227</v>
      </c>
      <c r="C109" s="212" t="s">
        <v>1165</v>
      </c>
      <c r="D109" s="84">
        <v>0</v>
      </c>
      <c r="E109" s="213" t="s">
        <v>24</v>
      </c>
      <c r="G109" s="74"/>
      <c r="H109" s="74"/>
      <c r="I109" s="74"/>
      <c r="J109" s="74"/>
    </row>
    <row r="110" spans="1:10" s="99" customFormat="1">
      <c r="A110" s="212" t="s">
        <v>166</v>
      </c>
      <c r="B110" s="212" t="s">
        <v>236</v>
      </c>
      <c r="C110" s="212" t="s">
        <v>1162</v>
      </c>
      <c r="D110" s="84">
        <v>0</v>
      </c>
      <c r="E110" s="213" t="s">
        <v>24</v>
      </c>
      <c r="G110" s="74"/>
      <c r="H110" s="74"/>
      <c r="I110" s="74"/>
      <c r="J110" s="74"/>
    </row>
    <row r="111" spans="1:10" s="99" customFormat="1">
      <c r="A111" s="212" t="s">
        <v>238</v>
      </c>
      <c r="B111" s="212" t="s">
        <v>239</v>
      </c>
      <c r="C111" s="212" t="s">
        <v>1162</v>
      </c>
      <c r="D111" s="84">
        <v>0</v>
      </c>
      <c r="E111" s="213" t="s">
        <v>24</v>
      </c>
      <c r="G111" s="74"/>
      <c r="H111" s="74"/>
      <c r="I111" s="74"/>
      <c r="J111" s="74"/>
    </row>
    <row r="112" spans="1:10" s="99" customFormat="1">
      <c r="A112" s="212" t="s">
        <v>240</v>
      </c>
      <c r="B112" s="212" t="s">
        <v>241</v>
      </c>
      <c r="C112" s="212" t="s">
        <v>1162</v>
      </c>
      <c r="D112" s="84">
        <v>0.7</v>
      </c>
      <c r="E112" s="213" t="s">
        <v>24</v>
      </c>
      <c r="G112" s="74"/>
      <c r="H112" s="74"/>
      <c r="I112" s="74"/>
      <c r="J112" s="74"/>
    </row>
    <row r="113" spans="1:10" s="99" customFormat="1">
      <c r="A113" s="109" t="s">
        <v>112</v>
      </c>
      <c r="B113" s="213" t="s">
        <v>113</v>
      </c>
      <c r="C113" s="243" t="s">
        <v>1089</v>
      </c>
      <c r="D113" s="84">
        <v>0.6</v>
      </c>
      <c r="E113" s="213" t="s">
        <v>24</v>
      </c>
      <c r="G113" s="74"/>
      <c r="H113" s="74"/>
      <c r="I113" s="74"/>
      <c r="J113" s="74"/>
    </row>
    <row r="114" spans="1:10" s="99" customFormat="1">
      <c r="A114" s="212" t="s">
        <v>247</v>
      </c>
      <c r="B114" s="212" t="s">
        <v>248</v>
      </c>
      <c r="C114" s="243" t="s">
        <v>1089</v>
      </c>
      <c r="D114" s="84">
        <v>0.8</v>
      </c>
      <c r="E114" s="213" t="s">
        <v>24</v>
      </c>
      <c r="G114" s="74"/>
      <c r="H114" s="74"/>
      <c r="I114" s="74"/>
      <c r="J114" s="74"/>
    </row>
    <row r="115" spans="1:10" s="99" customFormat="1">
      <c r="A115" s="109" t="s">
        <v>103</v>
      </c>
      <c r="B115" s="213" t="s">
        <v>104</v>
      </c>
      <c r="C115" s="243" t="s">
        <v>1292</v>
      </c>
      <c r="D115" s="84">
        <v>0.3</v>
      </c>
      <c r="E115" s="213" t="s">
        <v>24</v>
      </c>
      <c r="G115" s="74"/>
      <c r="H115" s="74"/>
      <c r="I115" s="74"/>
      <c r="J115" s="74"/>
    </row>
    <row r="116" spans="1:10" s="99" customFormat="1">
      <c r="A116" s="109" t="s">
        <v>106</v>
      </c>
      <c r="B116" s="213" t="s">
        <v>107</v>
      </c>
      <c r="C116" s="243" t="s">
        <v>1292</v>
      </c>
      <c r="D116" s="84">
        <v>0.5</v>
      </c>
      <c r="E116" s="213" t="s">
        <v>24</v>
      </c>
      <c r="G116" s="74"/>
      <c r="H116" s="74"/>
      <c r="I116" s="74"/>
      <c r="J116" s="74"/>
    </row>
    <row r="117" spans="1:10" s="99" customFormat="1">
      <c r="A117" s="109" t="s">
        <v>108</v>
      </c>
      <c r="B117" s="213" t="s">
        <v>109</v>
      </c>
      <c r="C117" s="243" t="s">
        <v>1292</v>
      </c>
      <c r="D117" s="84">
        <v>0</v>
      </c>
      <c r="E117" s="213" t="s">
        <v>24</v>
      </c>
      <c r="G117" s="74"/>
      <c r="H117" s="74"/>
      <c r="I117" s="74"/>
      <c r="J117" s="74"/>
    </row>
    <row r="118" spans="1:10" s="99" customFormat="1">
      <c r="A118" s="109" t="s">
        <v>110</v>
      </c>
      <c r="B118" s="213" t="s">
        <v>111</v>
      </c>
      <c r="C118" s="243" t="s">
        <v>1292</v>
      </c>
      <c r="D118" s="84">
        <v>1.3</v>
      </c>
      <c r="E118" s="213" t="s">
        <v>24</v>
      </c>
      <c r="G118" s="74"/>
      <c r="H118" s="74"/>
      <c r="I118" s="74"/>
      <c r="J118" s="74"/>
    </row>
    <row r="119" spans="1:10" s="99" customFormat="1">
      <c r="A119" s="212" t="s">
        <v>214</v>
      </c>
      <c r="B119" s="212" t="s">
        <v>215</v>
      </c>
      <c r="C119" s="243" t="s">
        <v>1292</v>
      </c>
      <c r="D119" s="84">
        <v>0</v>
      </c>
      <c r="E119" s="213" t="s">
        <v>24</v>
      </c>
      <c r="G119" s="74"/>
      <c r="H119" s="74"/>
      <c r="I119" s="74"/>
      <c r="J119" s="74"/>
    </row>
    <row r="120" spans="1:10" s="99" customFormat="1">
      <c r="A120" s="212" t="s">
        <v>216</v>
      </c>
      <c r="B120" s="212" t="s">
        <v>217</v>
      </c>
      <c r="C120" s="243" t="s">
        <v>1292</v>
      </c>
      <c r="D120" s="84">
        <v>0.4</v>
      </c>
      <c r="E120" s="213" t="s">
        <v>24</v>
      </c>
      <c r="G120" s="74"/>
      <c r="H120" s="74"/>
      <c r="I120" s="74"/>
      <c r="J120" s="74"/>
    </row>
    <row r="121" spans="1:10" s="99" customFormat="1">
      <c r="A121" s="212" t="s">
        <v>166</v>
      </c>
      <c r="B121" s="212" t="s">
        <v>218</v>
      </c>
      <c r="C121" s="243" t="s">
        <v>1292</v>
      </c>
      <c r="D121" s="84">
        <v>0</v>
      </c>
      <c r="E121" s="213" t="s">
        <v>24</v>
      </c>
      <c r="G121" s="74"/>
      <c r="H121" s="74"/>
      <c r="I121" s="74"/>
      <c r="J121" s="74"/>
    </row>
    <row r="122" spans="1:10" s="99" customFormat="1">
      <c r="A122" s="212" t="s">
        <v>166</v>
      </c>
      <c r="B122" s="212" t="s">
        <v>223</v>
      </c>
      <c r="C122" s="243" t="s">
        <v>1292</v>
      </c>
      <c r="D122" s="84">
        <v>0</v>
      </c>
      <c r="E122" s="213" t="s">
        <v>24</v>
      </c>
      <c r="G122" s="74"/>
      <c r="H122" s="74"/>
      <c r="I122" s="74"/>
      <c r="J122" s="74"/>
    </row>
    <row r="123" spans="1:10" s="99" customFormat="1">
      <c r="A123" s="212" t="s">
        <v>166</v>
      </c>
      <c r="B123" s="212" t="s">
        <v>224</v>
      </c>
      <c r="C123" s="243" t="s">
        <v>1292</v>
      </c>
      <c r="D123" s="84">
        <v>0</v>
      </c>
      <c r="E123" s="213" t="s">
        <v>24</v>
      </c>
      <c r="G123" s="74"/>
      <c r="H123" s="74"/>
      <c r="I123" s="74"/>
      <c r="J123" s="74"/>
    </row>
    <row r="124" spans="1:10" s="99" customFormat="1">
      <c r="A124" s="212" t="s">
        <v>166</v>
      </c>
      <c r="B124" s="212" t="s">
        <v>225</v>
      </c>
      <c r="C124" s="243" t="s">
        <v>1292</v>
      </c>
      <c r="D124" s="84">
        <v>0</v>
      </c>
      <c r="E124" s="213" t="s">
        <v>24</v>
      </c>
      <c r="G124" s="74"/>
      <c r="H124" s="74"/>
      <c r="I124" s="74"/>
      <c r="J124" s="74"/>
    </row>
    <row r="125" spans="1:10" s="99" customFormat="1">
      <c r="A125" s="212" t="s">
        <v>166</v>
      </c>
      <c r="B125" s="212" t="s">
        <v>228</v>
      </c>
      <c r="C125" s="243" t="s">
        <v>1292</v>
      </c>
      <c r="D125" s="84">
        <v>0</v>
      </c>
      <c r="E125" s="213" t="s">
        <v>24</v>
      </c>
      <c r="G125" s="74"/>
      <c r="H125" s="74"/>
      <c r="I125" s="74"/>
      <c r="J125" s="74"/>
    </row>
    <row r="126" spans="1:10" s="99" customFormat="1">
      <c r="A126" s="212" t="s">
        <v>166</v>
      </c>
      <c r="B126" s="212" t="s">
        <v>243</v>
      </c>
      <c r="C126" s="243" t="s">
        <v>1292</v>
      </c>
      <c r="D126" s="84">
        <v>0</v>
      </c>
      <c r="E126" s="213" t="s">
        <v>24</v>
      </c>
      <c r="G126" s="74"/>
      <c r="H126" s="74"/>
      <c r="I126" s="74"/>
      <c r="J126" s="74"/>
    </row>
    <row r="127" spans="1:10" s="99" customFormat="1">
      <c r="A127" s="212" t="s">
        <v>166</v>
      </c>
      <c r="B127" s="212" t="s">
        <v>244</v>
      </c>
      <c r="C127" s="243" t="s">
        <v>1292</v>
      </c>
      <c r="D127" s="84">
        <v>0</v>
      </c>
      <c r="E127" s="213" t="s">
        <v>24</v>
      </c>
      <c r="G127" s="74"/>
      <c r="H127" s="74"/>
      <c r="I127" s="74"/>
      <c r="J127" s="74"/>
    </row>
    <row r="128" spans="1:10" s="99" customFormat="1">
      <c r="A128" s="212" t="s">
        <v>245</v>
      </c>
      <c r="B128" s="212" t="s">
        <v>246</v>
      </c>
      <c r="C128" s="243" t="s">
        <v>1292</v>
      </c>
      <c r="D128" s="84">
        <v>0</v>
      </c>
      <c r="E128" s="213" t="s">
        <v>24</v>
      </c>
      <c r="G128" s="74"/>
      <c r="H128" s="74"/>
      <c r="I128" s="74"/>
      <c r="J128" s="74"/>
    </row>
    <row r="129" spans="1:10" s="99" customFormat="1">
      <c r="A129" s="109" t="s">
        <v>100</v>
      </c>
      <c r="B129" s="213" t="s">
        <v>101</v>
      </c>
      <c r="C129" s="243" t="s">
        <v>1087</v>
      </c>
      <c r="D129" s="84">
        <v>0.6</v>
      </c>
      <c r="E129" s="213" t="s">
        <v>24</v>
      </c>
      <c r="G129" s="74"/>
      <c r="H129" s="74"/>
      <c r="I129" s="74"/>
      <c r="J129" s="74"/>
    </row>
    <row r="130" spans="1:10" s="99" customFormat="1">
      <c r="A130" s="154"/>
      <c r="B130" s="100"/>
      <c r="C130" s="249" t="s">
        <v>15</v>
      </c>
      <c r="D130" s="251">
        <f>SUM(D102:D129)</f>
        <v>5.3</v>
      </c>
      <c r="E130" s="100"/>
      <c r="G130" s="74"/>
      <c r="H130" s="74"/>
      <c r="I130" s="74"/>
      <c r="J130" s="74"/>
    </row>
    <row r="131" spans="1:10" s="99" customFormat="1">
      <c r="A131" s="216"/>
      <c r="C131" s="250" t="s">
        <v>666</v>
      </c>
      <c r="D131" s="252">
        <f>SUM(D102:D129)</f>
        <v>5.3</v>
      </c>
      <c r="G131" s="74"/>
    </row>
    <row r="132" spans="1:10" s="99" customFormat="1">
      <c r="A132" s="10" t="s">
        <v>1112</v>
      </c>
      <c r="C132" s="194"/>
      <c r="D132" s="127"/>
      <c r="G132" s="74"/>
    </row>
    <row r="133" spans="1:10" ht="40.5" customHeight="1">
      <c r="A133" s="208" t="s">
        <v>1013</v>
      </c>
      <c r="B133" s="209"/>
      <c r="C133" s="208" t="s">
        <v>1014</v>
      </c>
      <c r="D133" s="210" t="s">
        <v>1295</v>
      </c>
      <c r="E133" s="211" t="s">
        <v>19</v>
      </c>
      <c r="H133" s="99"/>
      <c r="I133" s="99"/>
      <c r="J133" s="99"/>
    </row>
    <row r="134" spans="1:10" s="99" customFormat="1">
      <c r="A134" s="212" t="s">
        <v>166</v>
      </c>
      <c r="B134" s="212" t="s">
        <v>254</v>
      </c>
      <c r="C134" s="212" t="s">
        <v>1155</v>
      </c>
      <c r="D134" s="84">
        <v>0</v>
      </c>
      <c r="E134" s="213" t="s">
        <v>24</v>
      </c>
      <c r="G134" s="74"/>
    </row>
    <row r="135" spans="1:10" s="99" customFormat="1">
      <c r="A135" s="212" t="s">
        <v>166</v>
      </c>
      <c r="B135" s="212" t="s">
        <v>264</v>
      </c>
      <c r="C135" s="212" t="s">
        <v>1131</v>
      </c>
      <c r="D135" s="84">
        <v>0</v>
      </c>
      <c r="E135" s="213" t="s">
        <v>24</v>
      </c>
      <c r="G135" s="74"/>
    </row>
    <row r="136" spans="1:10" s="99" customFormat="1">
      <c r="A136" s="212" t="s">
        <v>256</v>
      </c>
      <c r="B136" s="212" t="s">
        <v>257</v>
      </c>
      <c r="C136" s="212" t="s">
        <v>1126</v>
      </c>
      <c r="D136" s="84">
        <v>0.2</v>
      </c>
      <c r="E136" s="213" t="s">
        <v>24</v>
      </c>
      <c r="G136" s="74"/>
    </row>
    <row r="137" spans="1:10" s="99" customFormat="1">
      <c r="A137" s="212" t="s">
        <v>166</v>
      </c>
      <c r="B137" s="212" t="s">
        <v>266</v>
      </c>
      <c r="C137" s="212" t="s">
        <v>1127</v>
      </c>
      <c r="D137" s="84">
        <v>0</v>
      </c>
      <c r="E137" s="213" t="s">
        <v>24</v>
      </c>
      <c r="G137" s="206"/>
    </row>
    <row r="138" spans="1:10" s="99" customFormat="1">
      <c r="A138" s="212" t="s">
        <v>269</v>
      </c>
      <c r="B138" s="212" t="s">
        <v>270</v>
      </c>
      <c r="C138" s="212" t="s">
        <v>1127</v>
      </c>
      <c r="D138" s="84">
        <v>0.1</v>
      </c>
      <c r="E138" s="213" t="s">
        <v>24</v>
      </c>
      <c r="G138" s="206"/>
    </row>
    <row r="139" spans="1:10" s="99" customFormat="1">
      <c r="A139" s="212" t="s">
        <v>166</v>
      </c>
      <c r="B139" s="212" t="s">
        <v>249</v>
      </c>
      <c r="C139" s="212" t="s">
        <v>1128</v>
      </c>
      <c r="D139" s="84">
        <v>0</v>
      </c>
      <c r="E139" s="213" t="s">
        <v>24</v>
      </c>
      <c r="G139" s="206"/>
    </row>
    <row r="140" spans="1:10" s="99" customFormat="1">
      <c r="A140" s="212" t="s">
        <v>260</v>
      </c>
      <c r="B140" s="212" t="s">
        <v>261</v>
      </c>
      <c r="C140" s="212" t="s">
        <v>1128</v>
      </c>
      <c r="D140" s="84">
        <v>0</v>
      </c>
      <c r="E140" s="213" t="s">
        <v>24</v>
      </c>
      <c r="G140" s="206"/>
    </row>
    <row r="141" spans="1:10" s="99" customFormat="1">
      <c r="A141" s="212" t="s">
        <v>262</v>
      </c>
      <c r="B141" s="212" t="s">
        <v>263</v>
      </c>
      <c r="C141" s="212" t="s">
        <v>1128</v>
      </c>
      <c r="D141" s="84">
        <v>0.5</v>
      </c>
      <c r="E141" s="213" t="s">
        <v>24</v>
      </c>
      <c r="G141" s="206"/>
    </row>
    <row r="142" spans="1:10" s="99" customFormat="1">
      <c r="A142" s="212" t="s">
        <v>267</v>
      </c>
      <c r="B142" s="212" t="s">
        <v>268</v>
      </c>
      <c r="C142" s="212" t="s">
        <v>1129</v>
      </c>
      <c r="D142" s="84">
        <v>0</v>
      </c>
      <c r="E142" s="213" t="s">
        <v>24</v>
      </c>
      <c r="G142" s="206"/>
    </row>
    <row r="143" spans="1:10" s="99" customFormat="1">
      <c r="A143" s="114" t="s">
        <v>119</v>
      </c>
      <c r="B143" s="114" t="s">
        <v>120</v>
      </c>
      <c r="C143" s="212" t="s">
        <v>982</v>
      </c>
      <c r="D143" s="84">
        <v>0.6</v>
      </c>
      <c r="E143" s="213" t="s">
        <v>24</v>
      </c>
      <c r="G143" s="206"/>
    </row>
    <row r="144" spans="1:10" s="99" customFormat="1">
      <c r="A144" s="114" t="s">
        <v>121</v>
      </c>
      <c r="B144" s="114" t="s">
        <v>122</v>
      </c>
      <c r="C144" s="212" t="s">
        <v>982</v>
      </c>
      <c r="D144" s="84">
        <v>0.6</v>
      </c>
      <c r="E144" s="213" t="s">
        <v>24</v>
      </c>
      <c r="G144" s="206"/>
    </row>
    <row r="145" spans="1:11" s="99" customFormat="1">
      <c r="A145" s="212" t="s">
        <v>250</v>
      </c>
      <c r="B145" s="212" t="s">
        <v>251</v>
      </c>
      <c r="C145" s="212" t="s">
        <v>982</v>
      </c>
      <c r="D145" s="84">
        <v>0</v>
      </c>
      <c r="E145" s="213" t="s">
        <v>24</v>
      </c>
      <c r="G145" s="206"/>
    </row>
    <row r="146" spans="1:11" s="99" customFormat="1">
      <c r="A146" s="212" t="s">
        <v>252</v>
      </c>
      <c r="B146" s="212" t="s">
        <v>253</v>
      </c>
      <c r="C146" s="212" t="s">
        <v>982</v>
      </c>
      <c r="D146" s="84">
        <v>0</v>
      </c>
      <c r="E146" s="213" t="s">
        <v>24</v>
      </c>
      <c r="G146" s="206"/>
    </row>
    <row r="147" spans="1:11" s="99" customFormat="1">
      <c r="A147" s="212" t="s">
        <v>166</v>
      </c>
      <c r="B147" s="212" t="s">
        <v>255</v>
      </c>
      <c r="C147" s="212" t="s">
        <v>982</v>
      </c>
      <c r="D147" s="84">
        <v>0</v>
      </c>
      <c r="E147" s="213" t="s">
        <v>24</v>
      </c>
      <c r="G147" s="206"/>
    </row>
    <row r="148" spans="1:11" s="99" customFormat="1">
      <c r="A148" s="212" t="s">
        <v>258</v>
      </c>
      <c r="B148" s="212" t="s">
        <v>259</v>
      </c>
      <c r="C148" s="212" t="s">
        <v>982</v>
      </c>
      <c r="D148" s="84">
        <v>0.4</v>
      </c>
      <c r="E148" s="213" t="s">
        <v>24</v>
      </c>
      <c r="G148" s="206"/>
    </row>
    <row r="149" spans="1:11" s="99" customFormat="1">
      <c r="A149" s="212" t="s">
        <v>166</v>
      </c>
      <c r="B149" s="212" t="s">
        <v>265</v>
      </c>
      <c r="C149" s="212" t="s">
        <v>982</v>
      </c>
      <c r="D149" s="84">
        <v>0</v>
      </c>
      <c r="E149" s="213" t="s">
        <v>24</v>
      </c>
      <c r="G149" s="206"/>
    </row>
    <row r="150" spans="1:11" s="99" customFormat="1">
      <c r="A150" s="114" t="s">
        <v>115</v>
      </c>
      <c r="B150" s="114" t="s">
        <v>116</v>
      </c>
      <c r="C150" s="212" t="s">
        <v>981</v>
      </c>
      <c r="D150" s="84">
        <v>0</v>
      </c>
      <c r="E150" s="213" t="s">
        <v>24</v>
      </c>
      <c r="G150" s="206"/>
    </row>
    <row r="151" spans="1:11" s="99" customFormat="1">
      <c r="A151" s="114" t="s">
        <v>117</v>
      </c>
      <c r="B151" s="114" t="s">
        <v>118</v>
      </c>
      <c r="C151" s="212" t="s">
        <v>981</v>
      </c>
      <c r="D151" s="84">
        <v>0</v>
      </c>
      <c r="E151" s="213" t="s">
        <v>24</v>
      </c>
      <c r="G151" s="206"/>
    </row>
    <row r="152" spans="1:11" s="99" customFormat="1">
      <c r="C152" s="249" t="s">
        <v>15</v>
      </c>
      <c r="D152" s="253">
        <f>SUM(D134:D151)</f>
        <v>2.4</v>
      </c>
      <c r="G152" s="206"/>
    </row>
    <row r="153" spans="1:11" s="99" customFormat="1">
      <c r="C153" s="250" t="s">
        <v>666</v>
      </c>
      <c r="D153" s="253">
        <f>SUM(D134:D151)</f>
        <v>2.4</v>
      </c>
    </row>
    <row r="154" spans="1:11" s="99" customFormat="1"/>
    <row r="155" spans="1:11">
      <c r="A155" s="4" t="s">
        <v>1015</v>
      </c>
      <c r="B155" s="92"/>
      <c r="C155" s="86"/>
      <c r="D155" s="87"/>
    </row>
    <row r="156" spans="1:11" ht="66.75" customHeight="1" thickBot="1">
      <c r="A156" s="393" t="s">
        <v>1016</v>
      </c>
      <c r="B156" s="393"/>
      <c r="C156" s="393"/>
      <c r="D156" s="81"/>
      <c r="E156" s="81"/>
      <c r="F156" s="81"/>
      <c r="G156" s="81"/>
    </row>
    <row r="157" spans="1:11" ht="25.5">
      <c r="A157" s="93" t="s">
        <v>12</v>
      </c>
      <c r="B157" s="94">
        <v>35</v>
      </c>
      <c r="C157" s="12"/>
      <c r="D157" s="81"/>
      <c r="E157" s="81"/>
      <c r="F157" s="81"/>
      <c r="G157" s="81"/>
      <c r="H157" s="81"/>
      <c r="I157" s="81"/>
      <c r="J157" s="81"/>
      <c r="K157" s="81"/>
    </row>
    <row r="158" spans="1:11" ht="38.25">
      <c r="A158" s="95" t="s">
        <v>536</v>
      </c>
      <c r="B158" s="96">
        <v>4.0000000000000003E-5</v>
      </c>
      <c r="D158" s="81"/>
      <c r="E158" s="81"/>
      <c r="F158" s="81"/>
      <c r="H158" s="8"/>
      <c r="I158" s="81"/>
      <c r="J158" s="81"/>
      <c r="K158" s="81"/>
    </row>
    <row r="159" spans="1:11" ht="26.25" thickBot="1">
      <c r="A159" s="97" t="s">
        <v>537</v>
      </c>
      <c r="B159" s="98">
        <f>B157*B158</f>
        <v>1.4000000000000002E-3</v>
      </c>
      <c r="C159" s="81"/>
      <c r="D159" s="81"/>
      <c r="E159" s="81"/>
      <c r="F159" s="81"/>
      <c r="H159" s="8"/>
      <c r="I159" s="81"/>
      <c r="J159" s="81"/>
      <c r="K159" s="81"/>
    </row>
    <row r="160" spans="1:11">
      <c r="A160" s="99"/>
      <c r="B160" s="100"/>
      <c r="C160" s="100"/>
      <c r="D160" s="81"/>
      <c r="E160" s="81"/>
      <c r="F160" s="81"/>
      <c r="H160" s="8"/>
      <c r="I160" s="81"/>
      <c r="J160" s="81"/>
      <c r="K160" s="81"/>
    </row>
    <row r="161" spans="1:15">
      <c r="A161" s="4" t="s">
        <v>1017</v>
      </c>
      <c r="B161" s="100"/>
      <c r="C161" s="100"/>
      <c r="D161" s="81"/>
      <c r="E161" s="81"/>
      <c r="F161" s="81"/>
      <c r="H161" s="8"/>
      <c r="I161" s="81"/>
      <c r="J161" s="81"/>
      <c r="K161" s="81"/>
    </row>
    <row r="162" spans="1:15" ht="63.75" customHeight="1">
      <c r="A162" s="393" t="s">
        <v>647</v>
      </c>
      <c r="B162" s="393"/>
      <c r="C162" s="393"/>
      <c r="D162" s="81"/>
      <c r="E162" s="81"/>
      <c r="F162" s="81"/>
      <c r="H162" s="8"/>
      <c r="I162" s="81"/>
      <c r="J162" s="81"/>
      <c r="K162" s="81"/>
    </row>
    <row r="163" spans="1:15" ht="27.75" customHeight="1" thickBot="1">
      <c r="A163" s="10" t="s">
        <v>984</v>
      </c>
      <c r="B163" s="81"/>
      <c r="C163" s="13"/>
      <c r="D163" s="13"/>
      <c r="E163" s="13"/>
      <c r="F163" s="13"/>
      <c r="G163" s="81"/>
      <c r="H163" s="8"/>
      <c r="I163" s="13"/>
      <c r="J163" s="13"/>
      <c r="K163" s="13"/>
      <c r="L163" s="3"/>
      <c r="M163" s="3"/>
      <c r="N163" s="3"/>
      <c r="O163" s="3"/>
    </row>
    <row r="164" spans="1:15" ht="25.5">
      <c r="A164" s="93" t="s">
        <v>635</v>
      </c>
      <c r="B164" s="101">
        <v>17500</v>
      </c>
    </row>
    <row r="165" spans="1:15">
      <c r="A165" s="102" t="s">
        <v>634</v>
      </c>
      <c r="B165" s="103">
        <v>3500</v>
      </c>
      <c r="G165" s="104"/>
    </row>
    <row r="166" spans="1:15" ht="25.5">
      <c r="A166" s="95" t="s">
        <v>636</v>
      </c>
      <c r="B166" s="103">
        <v>9000</v>
      </c>
    </row>
    <row r="167" spans="1:15" ht="25.5">
      <c r="A167" s="95" t="s">
        <v>637</v>
      </c>
      <c r="B167" s="103">
        <v>8575</v>
      </c>
    </row>
    <row r="168" spans="1:15">
      <c r="A168" s="14" t="s">
        <v>546</v>
      </c>
      <c r="B168" s="15">
        <f>SUM(B164:B167)</f>
        <v>38575</v>
      </c>
    </row>
    <row r="169" spans="1:15" ht="12.75" customHeight="1" thickBot="1">
      <c r="A169" s="105" t="s">
        <v>547</v>
      </c>
      <c r="B169" s="106">
        <f>B168/1000000</f>
        <v>3.8574999999999998E-2</v>
      </c>
    </row>
    <row r="170" spans="1:15" ht="13.5" customHeight="1">
      <c r="A170" s="176"/>
    </row>
    <row r="171" spans="1:15">
      <c r="A171" s="3" t="s">
        <v>510</v>
      </c>
    </row>
    <row r="172" spans="1:15">
      <c r="A172" s="3"/>
    </row>
    <row r="173" spans="1:15">
      <c r="A173" s="4" t="s">
        <v>161</v>
      </c>
    </row>
    <row r="174" spans="1:15">
      <c r="H174" s="206"/>
    </row>
    <row r="175" spans="1:15">
      <c r="A175" s="78"/>
      <c r="B175" s="78" t="s">
        <v>392</v>
      </c>
      <c r="H175" s="206"/>
    </row>
    <row r="176" spans="1:15" ht="51">
      <c r="A176" s="78" t="s">
        <v>391</v>
      </c>
      <c r="B176" s="204">
        <v>6.7499999999999999E-3</v>
      </c>
      <c r="G176" s="206"/>
      <c r="H176" s="206"/>
    </row>
    <row r="177" spans="1:8">
      <c r="A177" s="217"/>
      <c r="B177" s="218"/>
      <c r="G177" s="206"/>
      <c r="H177" s="206"/>
    </row>
    <row r="178" spans="1:8" ht="51">
      <c r="A178" s="17" t="s">
        <v>1018</v>
      </c>
      <c r="B178" s="17" t="s">
        <v>1019</v>
      </c>
      <c r="C178" s="16" t="s">
        <v>9</v>
      </c>
      <c r="D178" s="210" t="s">
        <v>508</v>
      </c>
      <c r="E178" s="16" t="s">
        <v>125</v>
      </c>
      <c r="G178" s="206"/>
      <c r="H178" s="206"/>
    </row>
    <row r="179" spans="1:8" s="99" customFormat="1">
      <c r="A179" s="8" t="s">
        <v>627</v>
      </c>
      <c r="B179" s="74"/>
      <c r="C179" s="8"/>
      <c r="D179" s="126"/>
      <c r="E179" s="74"/>
      <c r="G179" s="206"/>
      <c r="H179" s="206"/>
    </row>
    <row r="180" spans="1:8" ht="27.75" customHeight="1">
      <c r="A180" s="219" t="s">
        <v>1</v>
      </c>
      <c r="B180" s="27" t="s">
        <v>271</v>
      </c>
      <c r="C180" s="220" t="s">
        <v>3</v>
      </c>
      <c r="D180" s="112">
        <v>1</v>
      </c>
      <c r="E180" s="413" t="s">
        <v>509</v>
      </c>
      <c r="G180" s="206"/>
      <c r="H180" s="206"/>
    </row>
    <row r="181" spans="1:8">
      <c r="A181" s="221"/>
      <c r="B181" s="27" t="s">
        <v>272</v>
      </c>
      <c r="C181" s="220" t="s">
        <v>3</v>
      </c>
      <c r="D181" s="112">
        <v>1</v>
      </c>
      <c r="E181" s="413"/>
      <c r="G181" s="206"/>
      <c r="H181" s="206"/>
    </row>
    <row r="182" spans="1:8" s="99" customFormat="1" ht="15.75" customHeight="1">
      <c r="A182" s="427" t="s">
        <v>168</v>
      </c>
      <c r="B182" s="27" t="s">
        <v>271</v>
      </c>
      <c r="C182" s="220" t="s">
        <v>3</v>
      </c>
      <c r="D182" s="112">
        <v>1</v>
      </c>
      <c r="E182" s="413"/>
      <c r="G182" s="28"/>
    </row>
    <row r="183" spans="1:8" ht="17.25" customHeight="1">
      <c r="A183" s="428"/>
      <c r="B183" s="27" t="s">
        <v>272</v>
      </c>
      <c r="C183" s="220" t="s">
        <v>3</v>
      </c>
      <c r="D183" s="112">
        <v>1</v>
      </c>
      <c r="E183" s="413"/>
      <c r="G183" s="28"/>
    </row>
    <row r="184" spans="1:8" s="99" customFormat="1">
      <c r="A184" s="325" t="s">
        <v>712</v>
      </c>
      <c r="B184" s="325" t="s">
        <v>713</v>
      </c>
      <c r="C184" s="367" t="s">
        <v>714</v>
      </c>
      <c r="D184" s="325">
        <v>1</v>
      </c>
      <c r="E184" s="413"/>
    </row>
    <row r="185" spans="1:8" s="99" customFormat="1" ht="15" customHeight="1">
      <c r="A185" s="325" t="s">
        <v>0</v>
      </c>
      <c r="B185" s="325" t="s">
        <v>713</v>
      </c>
      <c r="C185" s="367" t="s">
        <v>714</v>
      </c>
      <c r="D185" s="325">
        <v>1</v>
      </c>
      <c r="E185" s="413"/>
    </row>
    <row r="186" spans="1:8" s="99" customFormat="1" ht="45" customHeight="1">
      <c r="A186" s="109" t="s">
        <v>538</v>
      </c>
      <c r="B186" s="109" t="s">
        <v>540</v>
      </c>
      <c r="C186" s="109" t="s">
        <v>548</v>
      </c>
      <c r="D186" s="115">
        <v>1</v>
      </c>
      <c r="E186" s="376" t="s">
        <v>541</v>
      </c>
    </row>
    <row r="187" spans="1:8" s="99" customFormat="1">
      <c r="A187" s="396" t="s">
        <v>10</v>
      </c>
      <c r="B187" s="78" t="s">
        <v>7</v>
      </c>
      <c r="C187" s="220" t="s">
        <v>6</v>
      </c>
      <c r="D187" s="78">
        <v>1</v>
      </c>
      <c r="E187" s="399" t="s">
        <v>543</v>
      </c>
    </row>
    <row r="188" spans="1:8" s="99" customFormat="1" ht="79.5" customHeight="1">
      <c r="A188" s="398"/>
      <c r="B188" s="78" t="s">
        <v>8</v>
      </c>
      <c r="C188" s="220" t="s">
        <v>6</v>
      </c>
      <c r="D188" s="78">
        <v>1</v>
      </c>
      <c r="E188" s="399"/>
    </row>
    <row r="189" spans="1:8" s="99" customFormat="1">
      <c r="A189" s="10" t="s">
        <v>126</v>
      </c>
      <c r="B189" s="10"/>
      <c r="C189" s="100"/>
      <c r="D189" s="126"/>
    </row>
    <row r="190" spans="1:8" s="99" customFormat="1" ht="25.5">
      <c r="A190" s="222" t="s">
        <v>519</v>
      </c>
      <c r="B190" s="222" t="s">
        <v>143</v>
      </c>
      <c r="C190" s="222" t="s">
        <v>141</v>
      </c>
      <c r="D190" s="222">
        <v>1</v>
      </c>
      <c r="E190" s="412" t="s">
        <v>509</v>
      </c>
    </row>
    <row r="191" spans="1:8" s="99" customFormat="1" ht="25.5">
      <c r="A191" s="222" t="s">
        <v>518</v>
      </c>
      <c r="B191" s="222" t="s">
        <v>142</v>
      </c>
      <c r="C191" s="222" t="s">
        <v>141</v>
      </c>
      <c r="D191" s="222">
        <v>1</v>
      </c>
      <c r="E191" s="413"/>
    </row>
    <row r="192" spans="1:8" s="99" customFormat="1" ht="25.5">
      <c r="A192" s="429" t="s">
        <v>521</v>
      </c>
      <c r="B192" s="27" t="s">
        <v>274</v>
      </c>
      <c r="C192" s="222" t="s">
        <v>273</v>
      </c>
      <c r="D192" s="222">
        <v>1</v>
      </c>
      <c r="E192" s="413"/>
    </row>
    <row r="193" spans="1:7" s="99" customFormat="1">
      <c r="A193" s="430"/>
      <c r="B193" s="222" t="s">
        <v>989</v>
      </c>
      <c r="C193" s="222" t="s">
        <v>153</v>
      </c>
      <c r="D193" s="222">
        <v>1</v>
      </c>
      <c r="E193" s="413"/>
    </row>
    <row r="194" spans="1:7" s="99" customFormat="1" ht="25.5">
      <c r="A194" s="429" t="s">
        <v>517</v>
      </c>
      <c r="B194" s="27" t="s">
        <v>276</v>
      </c>
      <c r="C194" s="222" t="s">
        <v>275</v>
      </c>
      <c r="D194" s="222">
        <v>1</v>
      </c>
      <c r="E194" s="413"/>
    </row>
    <row r="195" spans="1:7" s="99" customFormat="1" ht="25.5">
      <c r="A195" s="430"/>
      <c r="B195" s="222" t="s">
        <v>994</v>
      </c>
      <c r="C195" s="222" t="s">
        <v>154</v>
      </c>
      <c r="D195" s="222">
        <v>1</v>
      </c>
      <c r="E195" s="413"/>
    </row>
    <row r="196" spans="1:7" s="99" customFormat="1" ht="25.5">
      <c r="A196" s="222" t="s">
        <v>514</v>
      </c>
      <c r="B196" s="222" t="s">
        <v>146</v>
      </c>
      <c r="C196" s="222" t="s">
        <v>127</v>
      </c>
      <c r="D196" s="222">
        <v>1</v>
      </c>
      <c r="E196" s="413"/>
    </row>
    <row r="197" spans="1:7" s="99" customFormat="1">
      <c r="A197" s="429" t="s">
        <v>515</v>
      </c>
      <c r="B197" s="27" t="s">
        <v>278</v>
      </c>
      <c r="C197" s="222" t="s">
        <v>277</v>
      </c>
      <c r="D197" s="222">
        <v>1</v>
      </c>
      <c r="E197" s="413"/>
    </row>
    <row r="198" spans="1:7" s="99" customFormat="1" ht="25.5">
      <c r="A198" s="430"/>
      <c r="B198" s="222" t="s">
        <v>145</v>
      </c>
      <c r="C198" s="222" t="s">
        <v>127</v>
      </c>
      <c r="D198" s="222">
        <v>1</v>
      </c>
      <c r="E198" s="413"/>
    </row>
    <row r="199" spans="1:7" s="99" customFormat="1" ht="38.25">
      <c r="A199" s="222" t="s">
        <v>513</v>
      </c>
      <c r="B199" s="222" t="s">
        <v>998</v>
      </c>
      <c r="C199" s="222" t="s">
        <v>128</v>
      </c>
      <c r="D199" s="222">
        <v>1</v>
      </c>
      <c r="E199" s="413"/>
      <c r="G199" s="206"/>
    </row>
    <row r="200" spans="1:7" s="99" customFormat="1" ht="25.5">
      <c r="A200" s="222" t="s">
        <v>512</v>
      </c>
      <c r="B200" s="222" t="s">
        <v>685</v>
      </c>
      <c r="C200" s="222" t="s">
        <v>149</v>
      </c>
      <c r="D200" s="222">
        <v>1</v>
      </c>
      <c r="E200" s="413"/>
      <c r="G200" s="206"/>
    </row>
    <row r="201" spans="1:7" s="99" customFormat="1" ht="25.5">
      <c r="A201" s="222" t="s">
        <v>516</v>
      </c>
      <c r="B201" s="222" t="s">
        <v>683</v>
      </c>
      <c r="C201" s="222" t="s">
        <v>147</v>
      </c>
      <c r="D201" s="222">
        <v>1</v>
      </c>
      <c r="E201" s="413"/>
      <c r="G201" s="206"/>
    </row>
    <row r="202" spans="1:7" s="99" customFormat="1" ht="25.5">
      <c r="A202" s="429" t="s">
        <v>522</v>
      </c>
      <c r="B202" s="222" t="s">
        <v>156</v>
      </c>
      <c r="C202" s="222" t="s">
        <v>155</v>
      </c>
      <c r="D202" s="222">
        <v>1</v>
      </c>
      <c r="E202" s="413"/>
      <c r="F202" s="224"/>
      <c r="G202" s="206"/>
    </row>
    <row r="203" spans="1:7" s="99" customFormat="1">
      <c r="A203" s="430"/>
      <c r="B203" s="27" t="s">
        <v>280</v>
      </c>
      <c r="C203" s="222" t="s">
        <v>279</v>
      </c>
      <c r="D203" s="222">
        <v>1</v>
      </c>
      <c r="E203" s="413"/>
      <c r="G203" s="206"/>
    </row>
    <row r="204" spans="1:7" s="99" customFormat="1">
      <c r="A204" s="429" t="s">
        <v>523</v>
      </c>
      <c r="B204" s="27" t="s">
        <v>280</v>
      </c>
      <c r="C204" s="222" t="s">
        <v>279</v>
      </c>
      <c r="D204" s="222">
        <v>1</v>
      </c>
      <c r="E204" s="413"/>
      <c r="F204" s="224"/>
      <c r="G204" s="206"/>
    </row>
    <row r="205" spans="1:7" s="99" customFormat="1" ht="25.5">
      <c r="A205" s="430"/>
      <c r="B205" s="222" t="s">
        <v>157</v>
      </c>
      <c r="C205" s="222" t="s">
        <v>155</v>
      </c>
      <c r="D205" s="222">
        <v>1</v>
      </c>
      <c r="E205" s="413"/>
      <c r="G205" s="206"/>
    </row>
    <row r="206" spans="1:7" s="99" customFormat="1" ht="25.5">
      <c r="A206" s="222" t="s">
        <v>524</v>
      </c>
      <c r="B206" s="222" t="s">
        <v>139</v>
      </c>
      <c r="C206" s="222" t="s">
        <v>140</v>
      </c>
      <c r="D206" s="222">
        <v>1</v>
      </c>
      <c r="E206" s="413"/>
      <c r="G206" s="206"/>
    </row>
    <row r="207" spans="1:7" s="99" customFormat="1">
      <c r="A207" s="429" t="s">
        <v>525</v>
      </c>
      <c r="B207" s="27" t="s">
        <v>282</v>
      </c>
      <c r="C207" s="222" t="s">
        <v>281</v>
      </c>
      <c r="D207" s="222">
        <v>1</v>
      </c>
      <c r="E207" s="413"/>
      <c r="G207" s="206"/>
    </row>
    <row r="208" spans="1:7" s="99" customFormat="1" ht="25.5">
      <c r="A208" s="430"/>
      <c r="B208" s="222" t="s">
        <v>1020</v>
      </c>
      <c r="C208" s="222" t="s">
        <v>158</v>
      </c>
      <c r="D208" s="222">
        <v>1</v>
      </c>
      <c r="E208" s="413"/>
      <c r="F208" s="224"/>
      <c r="G208" s="206"/>
    </row>
    <row r="209" spans="1:5" s="99" customFormat="1" ht="63.75">
      <c r="A209" s="222" t="s">
        <v>526</v>
      </c>
      <c r="B209" s="222" t="s">
        <v>1007</v>
      </c>
      <c r="C209" s="222" t="s">
        <v>159</v>
      </c>
      <c r="D209" s="222">
        <v>1</v>
      </c>
      <c r="E209" s="413"/>
    </row>
    <row r="210" spans="1:5" s="99" customFormat="1">
      <c r="A210" s="429" t="s">
        <v>520</v>
      </c>
      <c r="B210" s="27" t="s">
        <v>284</v>
      </c>
      <c r="C210" s="222" t="s">
        <v>283</v>
      </c>
      <c r="D210" s="222">
        <v>1</v>
      </c>
      <c r="E210" s="413"/>
    </row>
    <row r="211" spans="1:5" ht="25.5">
      <c r="A211" s="430"/>
      <c r="B211" s="222" t="s">
        <v>138</v>
      </c>
      <c r="C211" s="222" t="s">
        <v>144</v>
      </c>
      <c r="D211" s="222">
        <v>1</v>
      </c>
      <c r="E211" s="413"/>
    </row>
    <row r="212" spans="1:5" ht="15" customHeight="1">
      <c r="A212" s="222" t="s">
        <v>527</v>
      </c>
      <c r="B212" s="222" t="s">
        <v>150</v>
      </c>
      <c r="C212" s="222" t="s">
        <v>160</v>
      </c>
      <c r="D212" s="222">
        <v>1</v>
      </c>
      <c r="E212" s="413"/>
    </row>
    <row r="213" spans="1:5">
      <c r="A213" s="429" t="s">
        <v>528</v>
      </c>
      <c r="B213" s="27" t="s">
        <v>284</v>
      </c>
      <c r="C213" s="222" t="s">
        <v>283</v>
      </c>
      <c r="D213" s="222">
        <v>1</v>
      </c>
      <c r="E213" s="413"/>
    </row>
    <row r="214" spans="1:5" ht="23.25" customHeight="1">
      <c r="A214" s="430"/>
      <c r="B214" s="222" t="s">
        <v>137</v>
      </c>
      <c r="C214" s="222" t="s">
        <v>130</v>
      </c>
      <c r="D214" s="222">
        <v>1</v>
      </c>
      <c r="E214" s="413"/>
    </row>
    <row r="215" spans="1:5" s="99" customFormat="1" ht="25.5">
      <c r="A215" s="222" t="s">
        <v>529</v>
      </c>
      <c r="B215" s="222" t="s">
        <v>152</v>
      </c>
      <c r="C215" s="222" t="s">
        <v>151</v>
      </c>
      <c r="D215" s="222">
        <v>1</v>
      </c>
      <c r="E215" s="413"/>
    </row>
    <row r="216" spans="1:5" s="99" customFormat="1">
      <c r="A216" s="20"/>
      <c r="B216" s="225"/>
      <c r="C216" s="28"/>
      <c r="D216" s="226"/>
      <c r="E216" s="227"/>
    </row>
    <row r="217" spans="1:5">
      <c r="A217" s="10" t="s">
        <v>628</v>
      </c>
      <c r="B217" s="10"/>
      <c r="C217" s="100"/>
      <c r="D217" s="126"/>
    </row>
    <row r="218" spans="1:5" ht="48.75" customHeight="1">
      <c r="A218" s="213" t="s">
        <v>105</v>
      </c>
      <c r="B218" s="213" t="s">
        <v>129</v>
      </c>
      <c r="C218" s="213" t="s">
        <v>285</v>
      </c>
      <c r="D218" s="84">
        <v>1</v>
      </c>
      <c r="E218" s="228"/>
    </row>
    <row r="219" spans="1:5" s="99" customFormat="1" ht="60.75" customHeight="1">
      <c r="A219" s="213" t="s">
        <v>696</v>
      </c>
      <c r="B219" s="433" t="s">
        <v>697</v>
      </c>
      <c r="C219" s="434"/>
      <c r="D219" s="84">
        <v>1</v>
      </c>
      <c r="E219" s="229"/>
    </row>
    <row r="220" spans="1:5" s="99" customFormat="1" ht="64.5" customHeight="1">
      <c r="A220" s="213" t="s">
        <v>698</v>
      </c>
      <c r="B220" s="433" t="s">
        <v>708</v>
      </c>
      <c r="C220" s="434"/>
      <c r="D220" s="84">
        <v>1</v>
      </c>
      <c r="E220" s="229"/>
    </row>
    <row r="221" spans="1:5">
      <c r="A221" s="100"/>
      <c r="B221" s="100"/>
      <c r="C221" s="100"/>
      <c r="D221" s="87"/>
      <c r="E221" s="230"/>
    </row>
    <row r="222" spans="1:5">
      <c r="A222" s="10" t="s">
        <v>629</v>
      </c>
      <c r="B222" s="10"/>
      <c r="C222" s="100"/>
      <c r="D222" s="126"/>
    </row>
    <row r="223" spans="1:5">
      <c r="A223" s="421" t="s">
        <v>1011</v>
      </c>
      <c r="B223" s="68" t="s">
        <v>131</v>
      </c>
      <c r="C223" s="111" t="s">
        <v>684</v>
      </c>
      <c r="D223" s="231">
        <v>1</v>
      </c>
      <c r="E223" s="396" t="s">
        <v>509</v>
      </c>
    </row>
    <row r="224" spans="1:5" s="99" customFormat="1">
      <c r="A224" s="422"/>
      <c r="B224" s="68" t="s">
        <v>131</v>
      </c>
      <c r="C224" s="111" t="s">
        <v>132</v>
      </c>
      <c r="D224" s="231">
        <v>1</v>
      </c>
      <c r="E224" s="397"/>
    </row>
    <row r="225" spans="1:14" s="99" customFormat="1">
      <c r="A225" s="422"/>
      <c r="B225" s="68" t="s">
        <v>131</v>
      </c>
      <c r="C225" s="111" t="s">
        <v>133</v>
      </c>
      <c r="D225" s="231">
        <v>1</v>
      </c>
      <c r="E225" s="397"/>
    </row>
    <row r="226" spans="1:14" s="99" customFormat="1">
      <c r="A226" s="423"/>
      <c r="B226" s="68" t="s">
        <v>131</v>
      </c>
      <c r="C226" s="111" t="s">
        <v>134</v>
      </c>
      <c r="D226" s="231">
        <v>1</v>
      </c>
      <c r="E226" s="397"/>
    </row>
    <row r="227" spans="1:14" s="99" customFormat="1">
      <c r="A227" s="111" t="s">
        <v>982</v>
      </c>
      <c r="B227" s="68" t="s">
        <v>135</v>
      </c>
      <c r="C227" s="111" t="s">
        <v>136</v>
      </c>
      <c r="D227" s="231">
        <v>1</v>
      </c>
      <c r="E227" s="397"/>
    </row>
    <row r="228" spans="1:14" s="99" customFormat="1">
      <c r="A228" s="115" t="s">
        <v>1021</v>
      </c>
      <c r="B228" s="213" t="s">
        <v>286</v>
      </c>
      <c r="C228" s="213" t="s">
        <v>287</v>
      </c>
      <c r="D228" s="84">
        <v>2</v>
      </c>
      <c r="E228" s="397"/>
    </row>
    <row r="229" spans="1:14" s="99" customFormat="1">
      <c r="A229" s="115" t="s">
        <v>1022</v>
      </c>
      <c r="B229" s="213" t="s">
        <v>288</v>
      </c>
      <c r="C229" s="213" t="s">
        <v>288</v>
      </c>
      <c r="D229" s="84">
        <v>2</v>
      </c>
      <c r="E229" s="398"/>
      <c r="F229" s="75"/>
      <c r="G229" s="75"/>
      <c r="H229" s="75"/>
      <c r="I229" s="75"/>
      <c r="J229" s="75"/>
      <c r="K229" s="75"/>
      <c r="L229" s="75"/>
      <c r="M229" s="75"/>
      <c r="N229" s="75"/>
    </row>
    <row r="230" spans="1:14" s="99" customFormat="1">
      <c r="A230" s="232"/>
      <c r="B230" s="100"/>
      <c r="C230" s="100"/>
      <c r="D230" s="87"/>
      <c r="E230" s="100"/>
      <c r="F230" s="81"/>
      <c r="G230" s="81"/>
      <c r="H230" s="81"/>
      <c r="I230" s="81"/>
      <c r="J230" s="81"/>
      <c r="K230" s="81"/>
      <c r="L230" s="81"/>
      <c r="M230" s="81"/>
      <c r="N230" s="81"/>
    </row>
    <row r="231" spans="1:14" s="99" customFormat="1">
      <c r="A231" s="4" t="s">
        <v>643</v>
      </c>
      <c r="B231" s="100"/>
      <c r="C231" s="100"/>
      <c r="D231" s="87"/>
      <c r="E231" s="100"/>
      <c r="F231" s="81"/>
      <c r="G231" s="81"/>
      <c r="H231" s="81"/>
      <c r="I231" s="81"/>
      <c r="J231" s="81"/>
      <c r="K231" s="81"/>
      <c r="L231" s="81"/>
      <c r="M231" s="81"/>
      <c r="N231" s="81"/>
    </row>
    <row r="232" spans="1:14" s="99" customFormat="1">
      <c r="A232" s="149" t="s">
        <v>1023</v>
      </c>
      <c r="B232" s="100"/>
      <c r="C232" s="100"/>
      <c r="D232" s="87"/>
      <c r="E232" s="100"/>
      <c r="F232" s="81"/>
      <c r="G232" s="81"/>
      <c r="H232" s="81"/>
      <c r="I232" s="81"/>
      <c r="J232" s="81"/>
      <c r="K232" s="81"/>
      <c r="L232" s="81"/>
      <c r="M232" s="81"/>
      <c r="N232" s="81"/>
    </row>
    <row r="233" spans="1:14" ht="53.25" customHeight="1">
      <c r="A233" s="393" t="s">
        <v>648</v>
      </c>
      <c r="B233" s="393"/>
      <c r="C233" s="393"/>
      <c r="D233" s="87"/>
      <c r="E233" s="100"/>
      <c r="F233" s="81"/>
      <c r="G233" s="81"/>
      <c r="H233" s="81"/>
      <c r="I233" s="81"/>
      <c r="J233" s="81"/>
      <c r="K233" s="81"/>
      <c r="L233" s="81"/>
      <c r="M233" s="81"/>
      <c r="N233" s="81"/>
    </row>
    <row r="234" spans="1:14">
      <c r="D234" s="87"/>
      <c r="E234" s="100"/>
      <c r="F234" s="81"/>
      <c r="G234" s="81"/>
      <c r="H234" s="81"/>
      <c r="I234" s="81"/>
      <c r="J234" s="81"/>
      <c r="K234" s="81"/>
      <c r="L234" s="81"/>
      <c r="M234" s="81"/>
      <c r="N234" s="81"/>
    </row>
    <row r="235" spans="1:14">
      <c r="A235" s="78"/>
      <c r="B235" s="78" t="s">
        <v>392</v>
      </c>
      <c r="D235" s="82"/>
      <c r="E235" s="82"/>
      <c r="F235" s="81"/>
      <c r="G235" s="81"/>
      <c r="H235" s="81"/>
      <c r="I235" s="81"/>
      <c r="J235" s="81"/>
      <c r="K235" s="81"/>
      <c r="L235" s="81"/>
      <c r="M235" s="81"/>
      <c r="N235" s="81"/>
    </row>
    <row r="236" spans="1:14" ht="25.5">
      <c r="A236" s="78" t="s">
        <v>686</v>
      </c>
      <c r="B236" s="79">
        <v>24</v>
      </c>
      <c r="D236" s="13"/>
      <c r="E236" s="81"/>
      <c r="F236" s="81"/>
      <c r="G236" s="81"/>
      <c r="H236" s="81"/>
      <c r="I236" s="81"/>
      <c r="J236" s="81"/>
      <c r="K236" s="81"/>
      <c r="L236" s="81"/>
      <c r="M236" s="81"/>
      <c r="N236" s="81"/>
    </row>
    <row r="237" spans="1:14">
      <c r="A237" s="4"/>
      <c r="B237" s="100"/>
      <c r="C237" s="100"/>
      <c r="D237" s="13"/>
      <c r="E237" s="81"/>
    </row>
    <row r="238" spans="1:14">
      <c r="A238" s="4" t="s">
        <v>644</v>
      </c>
    </row>
    <row r="239" spans="1:14" s="99" customFormat="1">
      <c r="A239" s="4" t="s">
        <v>639</v>
      </c>
    </row>
    <row r="240" spans="1:14" s="99" customFormat="1"/>
    <row r="241" spans="1:17" s="99" customFormat="1">
      <c r="A241" s="112"/>
      <c r="B241" s="112" t="s">
        <v>392</v>
      </c>
    </row>
    <row r="242" spans="1:17" s="99" customFormat="1" ht="51">
      <c r="A242" s="112" t="s">
        <v>391</v>
      </c>
      <c r="B242" s="233">
        <v>6.7499999999999999E-3</v>
      </c>
    </row>
    <row r="243" spans="1:17" s="99" customFormat="1"/>
    <row r="244" spans="1:17" s="99" customFormat="1"/>
    <row r="245" spans="1:17" s="99" customFormat="1">
      <c r="A245" s="21" t="s">
        <v>980</v>
      </c>
      <c r="B245" s="21" t="s">
        <v>544</v>
      </c>
      <c r="C245" s="21" t="s">
        <v>545</v>
      </c>
      <c r="D245" s="21" t="s">
        <v>599</v>
      </c>
      <c r="E245" s="2"/>
      <c r="F245" s="100"/>
      <c r="G245" s="100"/>
      <c r="H245" s="100"/>
      <c r="I245" s="100"/>
      <c r="J245" s="100"/>
      <c r="K245" s="100"/>
      <c r="L245" s="100"/>
      <c r="M245" s="100"/>
      <c r="N245" s="100"/>
      <c r="O245" s="100"/>
    </row>
    <row r="246" spans="1:17" s="99" customFormat="1" ht="25.5">
      <c r="A246" s="114" t="s">
        <v>506</v>
      </c>
      <c r="B246" s="114" t="s">
        <v>410</v>
      </c>
      <c r="C246" s="114">
        <v>1</v>
      </c>
      <c r="D246" s="115" t="s">
        <v>598</v>
      </c>
      <c r="E246" s="116"/>
      <c r="F246" s="100"/>
      <c r="G246" s="100"/>
      <c r="H246" s="100"/>
      <c r="I246" s="100"/>
      <c r="J246" s="100"/>
      <c r="K246" s="100"/>
      <c r="L246" s="100"/>
      <c r="M246" s="100"/>
      <c r="N246" s="100"/>
      <c r="O246" s="100"/>
    </row>
    <row r="247" spans="1:17" s="99" customFormat="1">
      <c r="A247" s="114" t="s">
        <v>183</v>
      </c>
      <c r="B247" s="114" t="s">
        <v>460</v>
      </c>
      <c r="C247" s="114">
        <v>1</v>
      </c>
      <c r="D247" s="114">
        <v>2022</v>
      </c>
      <c r="E247" s="116"/>
      <c r="F247" s="100"/>
      <c r="G247" s="100"/>
      <c r="H247" s="100"/>
      <c r="I247" s="100"/>
      <c r="J247" s="100"/>
      <c r="K247" s="100"/>
      <c r="L247" s="100"/>
      <c r="M247" s="100"/>
      <c r="N247" s="100"/>
      <c r="O247" s="100"/>
    </row>
    <row r="248" spans="1:17">
      <c r="F248" s="82"/>
      <c r="G248" s="81"/>
      <c r="H248" s="81"/>
      <c r="I248" s="81"/>
      <c r="J248" s="81"/>
      <c r="K248" s="81"/>
      <c r="L248" s="81"/>
      <c r="M248" s="81"/>
      <c r="N248" s="81"/>
      <c r="O248" s="81"/>
    </row>
    <row r="249" spans="1:17" s="99" customFormat="1" ht="18.75" customHeight="1">
      <c r="A249" s="20" t="s">
        <v>645</v>
      </c>
      <c r="B249" s="100"/>
      <c r="C249" s="100"/>
      <c r="D249" s="100"/>
      <c r="E249" s="100"/>
      <c r="F249" s="216"/>
      <c r="G249" s="216"/>
      <c r="H249" s="216"/>
      <c r="I249" s="216"/>
      <c r="J249" s="216"/>
      <c r="K249" s="216"/>
      <c r="L249" s="216"/>
      <c r="M249" s="216"/>
      <c r="N249" s="216"/>
    </row>
    <row r="250" spans="1:17">
      <c r="A250" s="20" t="s">
        <v>638</v>
      </c>
      <c r="B250" s="81"/>
      <c r="C250" s="81"/>
      <c r="D250" s="81"/>
      <c r="E250" s="81"/>
      <c r="F250" s="75"/>
    </row>
    <row r="251" spans="1:17" ht="66" customHeight="1">
      <c r="A251" s="393" t="s">
        <v>687</v>
      </c>
      <c r="B251" s="393"/>
      <c r="C251" s="393"/>
      <c r="D251" s="81"/>
      <c r="E251" s="81"/>
      <c r="F251" s="82"/>
      <c r="G251" s="81"/>
      <c r="H251" s="81"/>
      <c r="I251" s="81"/>
      <c r="J251" s="81"/>
      <c r="K251" s="81"/>
      <c r="L251" s="81"/>
      <c r="M251" s="81"/>
      <c r="N251" s="81"/>
      <c r="O251" s="81"/>
      <c r="P251" s="81"/>
      <c r="Q251" s="81"/>
    </row>
    <row r="252" spans="1:17">
      <c r="A252" s="90"/>
      <c r="B252" s="90"/>
      <c r="C252" s="90"/>
      <c r="D252" s="81"/>
      <c r="E252" s="81"/>
      <c r="F252" s="82"/>
      <c r="G252" s="81"/>
      <c r="H252" s="81"/>
      <c r="I252" s="81"/>
      <c r="J252" s="81"/>
      <c r="K252" s="81"/>
      <c r="L252" s="81"/>
      <c r="M252" s="81"/>
      <c r="N252" s="81"/>
      <c r="O252" s="81"/>
      <c r="P252" s="81"/>
      <c r="Q252" s="81"/>
    </row>
    <row r="253" spans="1:17" ht="57.75" customHeight="1">
      <c r="A253" s="24" t="s">
        <v>1102</v>
      </c>
      <c r="B253" s="234">
        <f>75/116</f>
        <v>0.64655172413793105</v>
      </c>
      <c r="C253" s="81"/>
      <c r="D253" s="81"/>
      <c r="E253" s="81"/>
      <c r="F253" s="82"/>
      <c r="G253" s="81"/>
      <c r="H253" s="81"/>
      <c r="I253" s="81"/>
      <c r="J253" s="81"/>
      <c r="K253" s="81"/>
      <c r="L253" s="81"/>
      <c r="M253" s="81"/>
      <c r="N253" s="81"/>
    </row>
    <row r="254" spans="1:17">
      <c r="A254" s="51" t="s">
        <v>600</v>
      </c>
      <c r="B254" s="235" t="s">
        <v>601</v>
      </c>
      <c r="C254" s="417"/>
      <c r="D254" s="418"/>
      <c r="E254" s="418"/>
    </row>
    <row r="255" spans="1:17">
      <c r="A255" s="51" t="s">
        <v>602</v>
      </c>
      <c r="B255" s="235" t="s">
        <v>603</v>
      </c>
      <c r="C255" s="154"/>
      <c r="D255" s="83"/>
      <c r="E255" s="83"/>
    </row>
    <row r="256" spans="1:17">
      <c r="A256" s="81"/>
      <c r="B256" s="237"/>
      <c r="C256" s="154"/>
      <c r="D256" s="83"/>
      <c r="E256" s="83"/>
    </row>
    <row r="257" spans="1:14">
      <c r="A257" s="414" t="s">
        <v>604</v>
      </c>
      <c r="B257" s="415"/>
      <c r="C257" s="415"/>
      <c r="D257" s="415"/>
      <c r="E257" s="416"/>
      <c r="F257" s="81"/>
      <c r="G257" s="81"/>
      <c r="H257" s="81"/>
      <c r="I257" s="81"/>
      <c r="J257" s="81"/>
      <c r="K257" s="81"/>
      <c r="L257" s="81"/>
      <c r="M257" s="81"/>
      <c r="N257" s="81"/>
    </row>
    <row r="258" spans="1:14">
      <c r="A258" s="410" t="s">
        <v>549</v>
      </c>
      <c r="B258" s="239">
        <v>0.29276000000000002</v>
      </c>
      <c r="C258" s="410" t="s">
        <v>1103</v>
      </c>
      <c r="D258" s="410"/>
      <c r="E258" s="410"/>
      <c r="F258" s="81"/>
      <c r="G258" s="81"/>
      <c r="H258" s="81"/>
      <c r="I258" s="81"/>
      <c r="J258" s="81"/>
      <c r="K258" s="81"/>
      <c r="L258" s="81"/>
      <c r="M258" s="81"/>
      <c r="N258" s="81"/>
    </row>
    <row r="259" spans="1:14">
      <c r="A259" s="410"/>
      <c r="B259" s="240">
        <v>0.75</v>
      </c>
      <c r="C259" s="419" t="s">
        <v>1104</v>
      </c>
      <c r="D259" s="410"/>
      <c r="E259" s="410"/>
      <c r="F259" s="81"/>
      <c r="G259" s="81"/>
      <c r="H259" s="81"/>
      <c r="I259" s="81"/>
      <c r="J259" s="81"/>
      <c r="K259" s="81"/>
      <c r="L259" s="81"/>
      <c r="M259" s="81"/>
      <c r="N259" s="81"/>
    </row>
    <row r="260" spans="1:14">
      <c r="A260" s="410"/>
      <c r="B260" s="239">
        <f>B258*B259</f>
        <v>0.21957000000000002</v>
      </c>
      <c r="C260" s="410" t="s">
        <v>550</v>
      </c>
      <c r="D260" s="410"/>
      <c r="E260" s="410"/>
      <c r="F260" s="81"/>
      <c r="G260" s="81"/>
      <c r="H260" s="81"/>
      <c r="I260" s="81"/>
      <c r="J260" s="81"/>
      <c r="K260" s="81"/>
      <c r="L260" s="81"/>
      <c r="M260" s="81"/>
      <c r="N260" s="81"/>
    </row>
    <row r="261" spans="1:14">
      <c r="A261" s="410"/>
      <c r="B261" s="242">
        <f>B260*B253</f>
        <v>0.14196336206896554</v>
      </c>
      <c r="C261" s="410" t="s">
        <v>551</v>
      </c>
      <c r="D261" s="410"/>
      <c r="E261" s="410"/>
      <c r="F261" s="81"/>
      <c r="G261" s="81"/>
      <c r="H261" s="81"/>
      <c r="I261" s="81"/>
      <c r="J261" s="81"/>
      <c r="K261" s="81"/>
      <c r="L261" s="81"/>
      <c r="M261" s="81"/>
      <c r="N261" s="81"/>
    </row>
    <row r="262" spans="1:14">
      <c r="A262" s="410" t="s">
        <v>552</v>
      </c>
      <c r="B262" s="239">
        <v>25</v>
      </c>
      <c r="C262" s="431" t="s">
        <v>1105</v>
      </c>
      <c r="D262" s="410"/>
      <c r="E262" s="410"/>
      <c r="F262" s="81"/>
      <c r="G262" s="81"/>
      <c r="H262" s="81"/>
      <c r="I262" s="81"/>
      <c r="J262" s="81"/>
      <c r="K262" s="81"/>
      <c r="L262" s="81"/>
      <c r="M262" s="81"/>
      <c r="N262" s="81"/>
    </row>
    <row r="263" spans="1:14">
      <c r="A263" s="410"/>
      <c r="B263" s="239">
        <f>B262/5</f>
        <v>5</v>
      </c>
      <c r="C263" s="410" t="s">
        <v>553</v>
      </c>
      <c r="D263" s="410"/>
      <c r="E263" s="410"/>
      <c r="F263" s="81"/>
      <c r="G263" s="81"/>
      <c r="H263" s="81"/>
      <c r="I263" s="81"/>
      <c r="J263" s="81"/>
      <c r="K263" s="81"/>
      <c r="L263" s="81"/>
      <c r="M263" s="81"/>
      <c r="N263" s="81"/>
    </row>
    <row r="264" spans="1:14" ht="27.75" customHeight="1">
      <c r="A264" s="410"/>
      <c r="B264" s="244">
        <v>1</v>
      </c>
      <c r="C264" s="419" t="s">
        <v>1106</v>
      </c>
      <c r="D264" s="419"/>
      <c r="E264" s="419"/>
      <c r="F264" s="83"/>
      <c r="G264" s="83"/>
      <c r="H264" s="83"/>
      <c r="I264" s="83"/>
      <c r="J264" s="83"/>
      <c r="K264" s="83"/>
      <c r="L264" s="83"/>
      <c r="M264" s="83"/>
      <c r="N264" s="81"/>
    </row>
    <row r="265" spans="1:14" ht="15" customHeight="1">
      <c r="A265" s="410"/>
      <c r="B265" s="239">
        <f>B263*B264</f>
        <v>5</v>
      </c>
      <c r="C265" s="410" t="s">
        <v>554</v>
      </c>
      <c r="D265" s="410"/>
      <c r="E265" s="410"/>
      <c r="F265" s="83"/>
      <c r="G265" s="83"/>
      <c r="H265" s="83"/>
      <c r="I265" s="83"/>
      <c r="J265" s="83"/>
      <c r="K265" s="83"/>
      <c r="L265" s="83"/>
      <c r="M265" s="83"/>
      <c r="N265" s="81"/>
    </row>
    <row r="266" spans="1:14">
      <c r="A266" s="410"/>
      <c r="B266" s="242">
        <f>B265*B253</f>
        <v>3.2327586206896552</v>
      </c>
      <c r="C266" s="410" t="s">
        <v>555</v>
      </c>
      <c r="D266" s="410"/>
      <c r="E266" s="410"/>
      <c r="F266" s="83"/>
      <c r="G266" s="83"/>
      <c r="H266" s="83"/>
      <c r="I266" s="83"/>
      <c r="J266" s="83"/>
      <c r="K266" s="83"/>
      <c r="L266" s="83"/>
      <c r="M266" s="83"/>
      <c r="N266" s="81"/>
    </row>
    <row r="267" spans="1:14">
      <c r="A267" s="410" t="s">
        <v>556</v>
      </c>
      <c r="B267" s="245" t="s">
        <v>557</v>
      </c>
      <c r="C267" s="410"/>
      <c r="D267" s="410"/>
      <c r="E267" s="410"/>
      <c r="F267" s="81"/>
      <c r="G267" s="81"/>
      <c r="H267" s="81"/>
      <c r="I267" s="81"/>
      <c r="J267" s="81"/>
      <c r="K267" s="81"/>
      <c r="L267" s="81"/>
      <c r="M267" s="81"/>
      <c r="N267" s="81"/>
    </row>
    <row r="268" spans="1:14">
      <c r="A268" s="410"/>
      <c r="B268" s="239">
        <f>B266+B261</f>
        <v>3.3747219827586208</v>
      </c>
      <c r="C268" s="395" t="s">
        <v>558</v>
      </c>
      <c r="D268" s="410"/>
      <c r="E268" s="410"/>
      <c r="F268" s="81"/>
      <c r="G268" s="81"/>
      <c r="H268" s="81"/>
      <c r="I268" s="81"/>
      <c r="J268" s="81"/>
      <c r="K268" s="81"/>
      <c r="L268" s="81"/>
      <c r="M268" s="81"/>
      <c r="N268" s="81"/>
    </row>
    <row r="269" spans="1:14">
      <c r="A269" s="410"/>
      <c r="B269" s="240">
        <v>0.25</v>
      </c>
      <c r="C269" s="419" t="s">
        <v>1107</v>
      </c>
      <c r="D269" s="419"/>
      <c r="E269" s="419"/>
      <c r="F269" s="83"/>
      <c r="G269" s="83"/>
      <c r="H269" s="83"/>
      <c r="I269" s="83"/>
      <c r="J269" s="83"/>
      <c r="K269" s="83"/>
      <c r="L269" s="83"/>
      <c r="M269" s="81"/>
      <c r="N269" s="81"/>
    </row>
    <row r="270" spans="1:14" ht="25.5" customHeight="1">
      <c r="A270" s="410"/>
      <c r="B270" s="244">
        <v>0</v>
      </c>
      <c r="C270" s="419" t="s">
        <v>1108</v>
      </c>
      <c r="D270" s="419"/>
      <c r="E270" s="419"/>
      <c r="F270" s="81"/>
      <c r="G270" s="81"/>
      <c r="H270" s="81"/>
      <c r="I270" s="81"/>
      <c r="J270" s="81"/>
      <c r="K270" s="81"/>
      <c r="L270" s="81"/>
      <c r="M270" s="81"/>
      <c r="N270" s="81"/>
    </row>
    <row r="271" spans="1:14" ht="31.5" customHeight="1">
      <c r="A271" s="51"/>
      <c r="B271" s="239">
        <f>(B261*B269)+(B266*B270)</f>
        <v>3.5490840517241384E-2</v>
      </c>
      <c r="C271" s="424" t="s">
        <v>559</v>
      </c>
      <c r="D271" s="425"/>
      <c r="E271" s="426"/>
      <c r="F271" s="81"/>
      <c r="G271" s="81"/>
      <c r="H271" s="81"/>
      <c r="I271" s="81"/>
      <c r="J271" s="81"/>
      <c r="K271" s="81"/>
      <c r="L271" s="81"/>
      <c r="M271" s="81"/>
      <c r="N271" s="81"/>
    </row>
    <row r="274" spans="1:5">
      <c r="A274" s="3" t="s">
        <v>511</v>
      </c>
      <c r="D274" s="246"/>
    </row>
    <row r="275" spans="1:5">
      <c r="A275" s="3"/>
      <c r="D275" s="246"/>
    </row>
    <row r="276" spans="1:5">
      <c r="A276" s="4" t="s">
        <v>161</v>
      </c>
    </row>
    <row r="278" spans="1:5">
      <c r="A278" s="78"/>
      <c r="B278" s="78" t="s">
        <v>392</v>
      </c>
    </row>
    <row r="279" spans="1:5" ht="51">
      <c r="A279" s="78" t="s">
        <v>560</v>
      </c>
      <c r="B279" s="204">
        <v>6.7499999999999999E-3</v>
      </c>
    </row>
    <row r="280" spans="1:5">
      <c r="A280" s="227"/>
      <c r="B280" s="218"/>
    </row>
    <row r="281" spans="1:5" ht="47.25" customHeight="1">
      <c r="A281" s="432" t="s">
        <v>704</v>
      </c>
      <c r="B281" s="432"/>
      <c r="C281" s="68" t="s">
        <v>705</v>
      </c>
    </row>
    <row r="282" spans="1:5">
      <c r="A282" s="24" t="s">
        <v>654</v>
      </c>
      <c r="B282" s="51">
        <v>12</v>
      </c>
      <c r="C282" s="51">
        <f t="shared" ref="C282:C286" si="0">B282*0.5</f>
        <v>6</v>
      </c>
      <c r="E282" s="3"/>
    </row>
    <row r="283" spans="1:5">
      <c r="A283" s="24" t="s">
        <v>651</v>
      </c>
      <c r="B283" s="51">
        <v>0</v>
      </c>
      <c r="C283" s="51">
        <f t="shared" si="0"/>
        <v>0</v>
      </c>
      <c r="E283" s="3"/>
    </row>
    <row r="284" spans="1:5">
      <c r="A284" s="24" t="s">
        <v>652</v>
      </c>
      <c r="B284" s="51">
        <v>19</v>
      </c>
      <c r="C284" s="51">
        <f t="shared" si="0"/>
        <v>9.5</v>
      </c>
      <c r="E284" s="3"/>
    </row>
    <row r="285" spans="1:5">
      <c r="A285" s="24" t="s">
        <v>653</v>
      </c>
      <c r="B285" s="51">
        <v>56</v>
      </c>
      <c r="C285" s="51">
        <f t="shared" si="0"/>
        <v>28</v>
      </c>
      <c r="E285" s="3"/>
    </row>
    <row r="286" spans="1:5">
      <c r="A286" s="24" t="s">
        <v>703</v>
      </c>
      <c r="B286" s="51">
        <f>SUM(B282:B285)</f>
        <v>87</v>
      </c>
      <c r="C286" s="51">
        <f t="shared" si="0"/>
        <v>43.5</v>
      </c>
      <c r="E286" s="3"/>
    </row>
    <row r="287" spans="1:5">
      <c r="A287" s="247"/>
      <c r="B287" s="81"/>
      <c r="E287" s="3"/>
    </row>
    <row r="288" spans="1:5">
      <c r="A288" s="20" t="s">
        <v>977</v>
      </c>
      <c r="B288" s="99"/>
    </row>
    <row r="289" spans="1:20">
      <c r="A289" s="99"/>
      <c r="B289" s="99"/>
    </row>
    <row r="290" spans="1:20">
      <c r="A290" s="332" t="s">
        <v>26</v>
      </c>
      <c r="B290" s="381" t="s">
        <v>711</v>
      </c>
    </row>
    <row r="291" spans="1:20">
      <c r="A291" s="213" t="s">
        <v>669</v>
      </c>
      <c r="B291" s="213">
        <v>6</v>
      </c>
    </row>
    <row r="292" spans="1:20">
      <c r="A292" s="213" t="s">
        <v>670</v>
      </c>
      <c r="B292" s="213">
        <v>4</v>
      </c>
    </row>
    <row r="293" spans="1:20">
      <c r="A293" s="213" t="s">
        <v>671</v>
      </c>
      <c r="B293" s="213">
        <v>1</v>
      </c>
    </row>
    <row r="294" spans="1:20">
      <c r="A294" s="213" t="s">
        <v>672</v>
      </c>
      <c r="B294" s="213">
        <v>6</v>
      </c>
    </row>
    <row r="295" spans="1:20">
      <c r="A295" s="213" t="s">
        <v>673</v>
      </c>
      <c r="B295" s="213">
        <v>1</v>
      </c>
    </row>
    <row r="296" spans="1:20">
      <c r="A296" s="213" t="s">
        <v>674</v>
      </c>
      <c r="B296" s="213">
        <v>5</v>
      </c>
    </row>
    <row r="297" spans="1:20">
      <c r="A297" s="213" t="s">
        <v>675</v>
      </c>
      <c r="B297" s="213">
        <v>1</v>
      </c>
    </row>
    <row r="298" spans="1:20">
      <c r="A298" s="213" t="s">
        <v>495</v>
      </c>
      <c r="B298" s="213">
        <v>7</v>
      </c>
    </row>
    <row r="299" spans="1:20" s="164" customFormat="1">
      <c r="A299" s="213" t="s">
        <v>498</v>
      </c>
      <c r="B299" s="213">
        <v>3</v>
      </c>
      <c r="C299" s="74"/>
      <c r="D299" s="74"/>
      <c r="E299" s="74"/>
      <c r="F299" s="74"/>
      <c r="G299" s="74"/>
      <c r="H299" s="74"/>
      <c r="I299" s="74"/>
      <c r="J299" s="74"/>
      <c r="K299" s="74"/>
      <c r="L299" s="74"/>
      <c r="M299" s="74"/>
      <c r="N299" s="74"/>
      <c r="O299" s="74"/>
      <c r="P299" s="74"/>
      <c r="Q299" s="74"/>
      <c r="R299" s="74"/>
      <c r="S299" s="74"/>
      <c r="T299" s="74"/>
    </row>
    <row r="300" spans="1:20">
      <c r="A300" s="213" t="s">
        <v>676</v>
      </c>
      <c r="B300" s="213">
        <v>4</v>
      </c>
    </row>
    <row r="301" spans="1:20">
      <c r="A301" s="213" t="s">
        <v>677</v>
      </c>
      <c r="B301" s="213">
        <v>1</v>
      </c>
    </row>
    <row r="302" spans="1:20">
      <c r="A302" s="213" t="s">
        <v>678</v>
      </c>
      <c r="B302" s="213">
        <v>2</v>
      </c>
    </row>
    <row r="303" spans="1:20">
      <c r="A303" s="213" t="s">
        <v>567</v>
      </c>
      <c r="B303" s="213">
        <v>1</v>
      </c>
    </row>
    <row r="304" spans="1:20">
      <c r="A304" s="213" t="s">
        <v>578</v>
      </c>
      <c r="B304" s="213">
        <v>1</v>
      </c>
    </row>
    <row r="305" spans="1:12">
      <c r="A305" s="213" t="s">
        <v>579</v>
      </c>
      <c r="B305" s="213">
        <v>2</v>
      </c>
    </row>
    <row r="306" spans="1:12">
      <c r="A306" s="213" t="s">
        <v>580</v>
      </c>
      <c r="B306" s="213">
        <v>1</v>
      </c>
    </row>
    <row r="307" spans="1:12">
      <c r="A307" s="213" t="s">
        <v>582</v>
      </c>
      <c r="B307" s="213">
        <v>3</v>
      </c>
    </row>
    <row r="308" spans="1:12">
      <c r="A308" s="213" t="s">
        <v>581</v>
      </c>
      <c r="B308" s="213">
        <v>1</v>
      </c>
    </row>
    <row r="309" spans="1:12">
      <c r="A309" s="213" t="s">
        <v>583</v>
      </c>
      <c r="B309" s="213">
        <v>1</v>
      </c>
    </row>
    <row r="310" spans="1:12">
      <c r="A310" s="213" t="s">
        <v>584</v>
      </c>
      <c r="B310" s="213">
        <v>2</v>
      </c>
    </row>
    <row r="311" spans="1:12">
      <c r="A311" s="213" t="s">
        <v>585</v>
      </c>
      <c r="B311" s="213">
        <v>1</v>
      </c>
    </row>
    <row r="312" spans="1:12">
      <c r="A312" s="213" t="s">
        <v>586</v>
      </c>
      <c r="B312" s="213">
        <v>1</v>
      </c>
    </row>
    <row r="313" spans="1:12">
      <c r="A313" s="213" t="s">
        <v>588</v>
      </c>
      <c r="B313" s="213">
        <v>4</v>
      </c>
    </row>
    <row r="314" spans="1:12">
      <c r="A314" s="213" t="s">
        <v>589</v>
      </c>
      <c r="B314" s="213">
        <v>1</v>
      </c>
    </row>
    <row r="315" spans="1:12">
      <c r="A315" s="213" t="s">
        <v>590</v>
      </c>
      <c r="B315" s="213">
        <v>2</v>
      </c>
    </row>
    <row r="316" spans="1:12">
      <c r="A316" s="213" t="s">
        <v>591</v>
      </c>
      <c r="B316" s="213">
        <v>3</v>
      </c>
    </row>
    <row r="317" spans="1:12" ht="14.25">
      <c r="A317" s="387" t="s">
        <v>1331</v>
      </c>
      <c r="B317" s="386">
        <v>1</v>
      </c>
    </row>
    <row r="318" spans="1:12" s="81" customFormat="1">
      <c r="A318" s="99"/>
      <c r="B318" s="100"/>
      <c r="C318" s="74"/>
      <c r="D318" s="74"/>
      <c r="E318" s="74"/>
      <c r="F318" s="74"/>
      <c r="G318" s="74"/>
      <c r="H318" s="74"/>
      <c r="I318" s="74"/>
      <c r="J318" s="74"/>
      <c r="K318" s="74"/>
      <c r="L318" s="74"/>
    </row>
    <row r="319" spans="1:12" s="81" customFormat="1">
      <c r="A319" s="332" t="s">
        <v>99</v>
      </c>
      <c r="B319" s="381" t="s">
        <v>711</v>
      </c>
      <c r="C319" s="74"/>
      <c r="D319" s="74"/>
      <c r="E319" s="74"/>
      <c r="F319" s="74"/>
      <c r="G319" s="74"/>
      <c r="H319" s="74"/>
      <c r="I319" s="74"/>
      <c r="J319" s="74"/>
      <c r="K319" s="74"/>
      <c r="L319" s="74"/>
    </row>
    <row r="320" spans="1:12" s="81" customFormat="1">
      <c r="A320" s="213" t="s">
        <v>289</v>
      </c>
      <c r="B320" s="213">
        <v>1</v>
      </c>
      <c r="C320" s="74"/>
      <c r="D320" s="74"/>
      <c r="E320" s="74"/>
      <c r="F320" s="74"/>
      <c r="G320" s="74"/>
      <c r="H320" s="74"/>
      <c r="I320" s="74"/>
      <c r="J320" s="74"/>
      <c r="K320" s="74"/>
      <c r="L320" s="74"/>
    </row>
    <row r="321" spans="1:20" s="81" customFormat="1">
      <c r="A321" s="213" t="s">
        <v>237</v>
      </c>
      <c r="B321" s="213">
        <v>2</v>
      </c>
      <c r="C321" s="74"/>
      <c r="D321" s="74"/>
      <c r="E321" s="74"/>
      <c r="F321" s="74"/>
      <c r="G321" s="74"/>
      <c r="H321" s="74"/>
      <c r="I321" s="74"/>
      <c r="J321" s="74"/>
      <c r="K321" s="74"/>
      <c r="L321" s="74"/>
    </row>
    <row r="322" spans="1:20" s="81" customFormat="1">
      <c r="A322" s="213" t="s">
        <v>114</v>
      </c>
      <c r="B322" s="213">
        <v>2</v>
      </c>
      <c r="C322" s="74"/>
      <c r="D322" s="74"/>
      <c r="E322" s="74"/>
      <c r="F322" s="74"/>
      <c r="G322" s="74"/>
      <c r="H322" s="74"/>
      <c r="I322" s="74"/>
      <c r="J322" s="74"/>
      <c r="K322" s="74"/>
      <c r="L322" s="74"/>
      <c r="M322" s="74"/>
      <c r="N322" s="74"/>
      <c r="O322" s="74"/>
      <c r="P322" s="74"/>
      <c r="Q322" s="74"/>
      <c r="R322" s="74"/>
      <c r="S322" s="74"/>
      <c r="T322" s="74"/>
    </row>
    <row r="323" spans="1:20">
      <c r="A323" s="213" t="s">
        <v>105</v>
      </c>
      <c r="B323" s="213">
        <v>3</v>
      </c>
    </row>
    <row r="324" spans="1:20">
      <c r="A324" s="213" t="s">
        <v>300</v>
      </c>
      <c r="B324" s="213">
        <v>3</v>
      </c>
    </row>
    <row r="325" spans="1:20">
      <c r="A325" s="213" t="s">
        <v>562</v>
      </c>
      <c r="B325" s="213">
        <v>2</v>
      </c>
    </row>
    <row r="326" spans="1:20">
      <c r="A326" s="213" t="s">
        <v>303</v>
      </c>
      <c r="B326" s="213">
        <v>2</v>
      </c>
    </row>
    <row r="327" spans="1:20">
      <c r="A327" s="213" t="s">
        <v>304</v>
      </c>
      <c r="B327" s="213">
        <v>2</v>
      </c>
    </row>
    <row r="328" spans="1:20">
      <c r="A328" s="213" t="s">
        <v>305</v>
      </c>
      <c r="B328" s="213">
        <v>2</v>
      </c>
    </row>
    <row r="329" spans="1:20">
      <c r="A329" s="213" t="s">
        <v>306</v>
      </c>
      <c r="B329" s="213">
        <v>1</v>
      </c>
    </row>
    <row r="330" spans="1:20">
      <c r="A330" s="213" t="s">
        <v>308</v>
      </c>
      <c r="B330" s="213">
        <v>3</v>
      </c>
    </row>
    <row r="331" spans="1:20">
      <c r="A331" s="213" t="s">
        <v>102</v>
      </c>
      <c r="B331" s="213">
        <v>2</v>
      </c>
    </row>
    <row r="332" spans="1:20">
      <c r="A332" s="213" t="s">
        <v>313</v>
      </c>
      <c r="B332" s="213">
        <v>2</v>
      </c>
    </row>
    <row r="333" spans="1:20">
      <c r="A333" s="99"/>
      <c r="B333" s="100"/>
    </row>
    <row r="334" spans="1:20">
      <c r="A334" s="100"/>
      <c r="B334" s="100"/>
      <c r="C334" s="81"/>
    </row>
    <row r="335" spans="1:20" s="3" customFormat="1">
      <c r="A335" s="332" t="s">
        <v>651</v>
      </c>
      <c r="B335" s="381" t="s">
        <v>711</v>
      </c>
      <c r="C335" s="13"/>
    </row>
    <row r="336" spans="1:20">
      <c r="A336" s="213" t="s">
        <v>315</v>
      </c>
      <c r="B336" s="213">
        <v>1</v>
      </c>
      <c r="C336" s="81"/>
    </row>
    <row r="337" spans="1:3">
      <c r="A337" s="213" t="s">
        <v>317</v>
      </c>
      <c r="B337" s="213">
        <v>2</v>
      </c>
      <c r="C337" s="81"/>
    </row>
    <row r="338" spans="1:3">
      <c r="A338" s="213" t="s">
        <v>318</v>
      </c>
      <c r="B338" s="213">
        <v>1</v>
      </c>
      <c r="C338" s="81"/>
    </row>
    <row r="339" spans="1:3">
      <c r="A339" s="213" t="s">
        <v>319</v>
      </c>
      <c r="B339" s="213">
        <v>1</v>
      </c>
      <c r="C339" s="5"/>
    </row>
    <row r="340" spans="1:3">
      <c r="A340" s="213" t="s">
        <v>1024</v>
      </c>
      <c r="B340" s="213">
        <v>3</v>
      </c>
    </row>
    <row r="341" spans="1:3">
      <c r="A341" s="213" t="s">
        <v>320</v>
      </c>
      <c r="B341" s="213">
        <v>1</v>
      </c>
    </row>
    <row r="342" spans="1:3">
      <c r="A342" s="213" t="s">
        <v>1025</v>
      </c>
      <c r="B342" s="213">
        <v>1</v>
      </c>
    </row>
    <row r="343" spans="1:3">
      <c r="A343" s="213" t="s">
        <v>1026</v>
      </c>
      <c r="B343" s="213">
        <v>3</v>
      </c>
    </row>
    <row r="344" spans="1:3">
      <c r="A344" s="213" t="s">
        <v>322</v>
      </c>
      <c r="B344" s="213">
        <v>1</v>
      </c>
    </row>
    <row r="345" spans="1:3">
      <c r="A345" s="213" t="s">
        <v>323</v>
      </c>
      <c r="B345" s="213">
        <v>1</v>
      </c>
    </row>
    <row r="346" spans="1:3">
      <c r="A346" s="213" t="s">
        <v>1027</v>
      </c>
      <c r="B346" s="213">
        <v>1</v>
      </c>
    </row>
    <row r="347" spans="1:3">
      <c r="A347" s="213" t="s">
        <v>1028</v>
      </c>
      <c r="B347" s="213">
        <v>1</v>
      </c>
    </row>
    <row r="348" spans="1:3">
      <c r="A348" s="213" t="s">
        <v>1029</v>
      </c>
      <c r="B348" s="213">
        <v>1</v>
      </c>
    </row>
    <row r="349" spans="1:3">
      <c r="A349" s="99"/>
      <c r="B349" s="99"/>
    </row>
    <row r="350" spans="1:3">
      <c r="A350" s="99"/>
      <c r="B350" s="100"/>
    </row>
    <row r="351" spans="1:3" s="3" customFormat="1">
      <c r="A351" s="382" t="s">
        <v>630</v>
      </c>
      <c r="B351" s="381" t="s">
        <v>711</v>
      </c>
    </row>
    <row r="352" spans="1:3">
      <c r="A352" s="367" t="s">
        <v>408</v>
      </c>
      <c r="B352" s="213">
        <v>5</v>
      </c>
    </row>
    <row r="353" spans="1:4">
      <c r="A353" s="367" t="s">
        <v>406</v>
      </c>
      <c r="B353" s="213">
        <v>1</v>
      </c>
    </row>
    <row r="354" spans="1:4">
      <c r="A354" s="367" t="s">
        <v>455</v>
      </c>
      <c r="B354" s="213">
        <v>4</v>
      </c>
    </row>
    <row r="355" spans="1:4">
      <c r="A355" s="367" t="s">
        <v>450</v>
      </c>
      <c r="B355" s="213">
        <v>2</v>
      </c>
      <c r="D355" s="99"/>
    </row>
    <row r="356" spans="1:4">
      <c r="A356" s="367" t="s">
        <v>423</v>
      </c>
      <c r="B356" s="213">
        <v>2</v>
      </c>
      <c r="D356" s="99"/>
    </row>
    <row r="357" spans="1:4">
      <c r="A357" s="367" t="s">
        <v>419</v>
      </c>
      <c r="B357" s="213">
        <v>2</v>
      </c>
      <c r="D357" s="99"/>
    </row>
    <row r="358" spans="1:4">
      <c r="A358" s="367" t="s">
        <v>461</v>
      </c>
      <c r="B358" s="213">
        <v>3</v>
      </c>
      <c r="D358" s="99"/>
    </row>
    <row r="359" spans="1:4">
      <c r="A359" s="367" t="s">
        <v>439</v>
      </c>
      <c r="B359" s="213">
        <v>8</v>
      </c>
    </row>
    <row r="360" spans="1:4">
      <c r="A360" s="367" t="s">
        <v>459</v>
      </c>
      <c r="B360" s="213">
        <v>1</v>
      </c>
    </row>
    <row r="361" spans="1:4">
      <c r="A361" s="367" t="s">
        <v>401</v>
      </c>
      <c r="B361" s="213">
        <v>4</v>
      </c>
      <c r="D361" s="81"/>
    </row>
    <row r="362" spans="1:4">
      <c r="A362" s="367" t="s">
        <v>465</v>
      </c>
      <c r="B362" s="213">
        <v>2</v>
      </c>
      <c r="D362" s="81"/>
    </row>
    <row r="363" spans="1:4">
      <c r="A363" s="367" t="s">
        <v>421</v>
      </c>
      <c r="B363" s="213">
        <v>1</v>
      </c>
      <c r="D363" s="81"/>
    </row>
    <row r="364" spans="1:4">
      <c r="A364" s="367" t="s">
        <v>468</v>
      </c>
      <c r="B364" s="213">
        <v>3</v>
      </c>
      <c r="D364" s="81"/>
    </row>
    <row r="365" spans="1:4">
      <c r="A365" s="367" t="s">
        <v>395</v>
      </c>
      <c r="B365" s="213">
        <v>1</v>
      </c>
      <c r="D365" s="81"/>
    </row>
    <row r="366" spans="1:4">
      <c r="A366" s="367" t="s">
        <v>397</v>
      </c>
      <c r="B366" s="213">
        <v>1</v>
      </c>
    </row>
    <row r="367" spans="1:4">
      <c r="A367" s="367" t="s">
        <v>431</v>
      </c>
      <c r="B367" s="213">
        <v>4</v>
      </c>
    </row>
    <row r="368" spans="1:4">
      <c r="A368" s="367" t="s">
        <v>436</v>
      </c>
      <c r="B368" s="213">
        <v>1</v>
      </c>
      <c r="C368" s="81"/>
    </row>
    <row r="369" spans="1:5">
      <c r="A369" s="367" t="s">
        <v>414</v>
      </c>
      <c r="B369" s="213">
        <v>1</v>
      </c>
    </row>
    <row r="370" spans="1:5">
      <c r="A370" s="367" t="s">
        <v>437</v>
      </c>
      <c r="B370" s="213">
        <v>1</v>
      </c>
    </row>
    <row r="371" spans="1:5">
      <c r="A371" s="367" t="s">
        <v>448</v>
      </c>
      <c r="B371" s="213">
        <v>1</v>
      </c>
    </row>
    <row r="372" spans="1:5">
      <c r="A372" s="367" t="s">
        <v>452</v>
      </c>
      <c r="B372" s="213">
        <v>2</v>
      </c>
    </row>
    <row r="373" spans="1:5" ht="25.5">
      <c r="A373" s="367" t="s">
        <v>416</v>
      </c>
      <c r="B373" s="213">
        <v>2</v>
      </c>
    </row>
    <row r="374" spans="1:5">
      <c r="A374" s="367" t="s">
        <v>429</v>
      </c>
      <c r="B374" s="213">
        <v>1</v>
      </c>
    </row>
    <row r="375" spans="1:5">
      <c r="A375" s="367" t="s">
        <v>426</v>
      </c>
      <c r="B375" s="213">
        <v>2</v>
      </c>
    </row>
    <row r="376" spans="1:5">
      <c r="A376" s="367" t="s">
        <v>399</v>
      </c>
      <c r="B376" s="213">
        <v>1</v>
      </c>
    </row>
    <row r="379" spans="1:5">
      <c r="A379" s="3" t="s">
        <v>699</v>
      </c>
    </row>
    <row r="380" spans="1:5">
      <c r="A380" s="361"/>
      <c r="B380" s="420" t="s">
        <v>700</v>
      </c>
      <c r="C380" s="420"/>
      <c r="D380" s="420"/>
      <c r="E380" s="361"/>
    </row>
    <row r="381" spans="1:5" ht="63.75">
      <c r="A381" s="17" t="s">
        <v>701</v>
      </c>
      <c r="B381" s="17" t="s">
        <v>1332</v>
      </c>
      <c r="C381" s="17" t="s">
        <v>1333</v>
      </c>
      <c r="D381" s="16" t="s">
        <v>715</v>
      </c>
      <c r="E381" s="371" t="s">
        <v>972</v>
      </c>
    </row>
    <row r="382" spans="1:5">
      <c r="A382" s="17" t="s">
        <v>124</v>
      </c>
      <c r="B382" s="16"/>
      <c r="C382" s="16"/>
      <c r="D382" s="16"/>
      <c r="E382" s="361"/>
    </row>
    <row r="383" spans="1:5" ht="58.5" customHeight="1">
      <c r="A383" s="324" t="s">
        <v>968</v>
      </c>
      <c r="B383" s="244">
        <v>0</v>
      </c>
      <c r="C383" s="370">
        <v>0.3</v>
      </c>
      <c r="D383" s="370">
        <v>0.55000000000000004</v>
      </c>
      <c r="E383" s="326">
        <f>6750/1000000</f>
        <v>6.7499999999999999E-3</v>
      </c>
    </row>
    <row r="384" spans="1:5" ht="51">
      <c r="A384" s="324" t="s">
        <v>969</v>
      </c>
      <c r="B384" s="244">
        <v>1</v>
      </c>
      <c r="C384" s="370">
        <v>0.7</v>
      </c>
      <c r="D384" s="370">
        <v>0.45</v>
      </c>
      <c r="E384" s="326">
        <f>6750/1000000</f>
        <v>6.7499999999999999E-3</v>
      </c>
    </row>
    <row r="385" spans="1:5" ht="25.5">
      <c r="A385" s="324" t="s">
        <v>702</v>
      </c>
      <c r="B385" s="51">
        <v>0</v>
      </c>
      <c r="C385" s="213">
        <v>12</v>
      </c>
      <c r="D385" s="213">
        <v>36</v>
      </c>
      <c r="E385" s="368">
        <f>8438/1000000</f>
        <v>8.4379999999999993E-3</v>
      </c>
    </row>
    <row r="386" spans="1:5" ht="25.5">
      <c r="A386" s="324" t="s">
        <v>931</v>
      </c>
      <c r="B386" s="51">
        <v>0</v>
      </c>
      <c r="C386" s="213">
        <v>40</v>
      </c>
      <c r="D386" s="213">
        <v>74</v>
      </c>
      <c r="E386" s="368" t="s">
        <v>1330</v>
      </c>
    </row>
    <row r="387" spans="1:5" ht="25.5">
      <c r="A387" s="324" t="s">
        <v>930</v>
      </c>
      <c r="B387" s="51">
        <v>131</v>
      </c>
      <c r="C387" s="213">
        <v>131</v>
      </c>
      <c r="D387" s="213">
        <v>131</v>
      </c>
      <c r="E387" s="368" t="s">
        <v>1330</v>
      </c>
    </row>
    <row r="388" spans="1:5">
      <c r="A388" s="372" t="s">
        <v>716</v>
      </c>
      <c r="B388" s="373"/>
      <c r="C388" s="373"/>
      <c r="D388" s="373"/>
      <c r="E388" s="374"/>
    </row>
    <row r="389" spans="1:5" ht="51">
      <c r="A389" s="324" t="s">
        <v>968</v>
      </c>
      <c r="B389" s="244">
        <v>0</v>
      </c>
      <c r="C389" s="244">
        <v>0.25</v>
      </c>
      <c r="D389" s="244">
        <v>0.55000000000000004</v>
      </c>
      <c r="E389" s="326">
        <f>6750/1000000</f>
        <v>6.7499999999999999E-3</v>
      </c>
    </row>
    <row r="390" spans="1:5" ht="51">
      <c r="A390" s="324" t="s">
        <v>969</v>
      </c>
      <c r="B390" s="244">
        <v>1</v>
      </c>
      <c r="C390" s="244">
        <v>0.75</v>
      </c>
      <c r="D390" s="244">
        <v>0.45</v>
      </c>
      <c r="E390" s="326">
        <f>6750/1000000</f>
        <v>6.7499999999999999E-3</v>
      </c>
    </row>
    <row r="391" spans="1:5" ht="25.5">
      <c r="A391" s="324" t="s">
        <v>944</v>
      </c>
      <c r="B391" s="51">
        <v>0</v>
      </c>
      <c r="C391" s="51">
        <v>3</v>
      </c>
      <c r="D391" s="51">
        <v>11</v>
      </c>
      <c r="E391" s="368">
        <f>8438/1000000</f>
        <v>8.4379999999999993E-3</v>
      </c>
    </row>
    <row r="392" spans="1:5" ht="25.5">
      <c r="A392" s="324" t="s">
        <v>931</v>
      </c>
      <c r="B392" s="51">
        <v>0</v>
      </c>
      <c r="C392" s="51">
        <v>13</v>
      </c>
      <c r="D392" s="51">
        <v>29</v>
      </c>
      <c r="E392" s="368" t="s">
        <v>1330</v>
      </c>
    </row>
    <row r="393" spans="1:5" ht="25.5">
      <c r="A393" s="324" t="s">
        <v>930</v>
      </c>
      <c r="B393" s="51">
        <v>52</v>
      </c>
      <c r="C393" s="51">
        <v>52</v>
      </c>
      <c r="D393" s="51">
        <v>52</v>
      </c>
      <c r="E393" s="368" t="s">
        <v>1330</v>
      </c>
    </row>
    <row r="394" spans="1:5">
      <c r="A394" s="372" t="s">
        <v>717</v>
      </c>
      <c r="B394" s="373"/>
      <c r="C394" s="373"/>
      <c r="D394" s="373"/>
      <c r="E394" s="374"/>
    </row>
    <row r="395" spans="1:5" ht="33" customHeight="1">
      <c r="A395" s="109" t="s">
        <v>968</v>
      </c>
      <c r="B395" s="370">
        <v>0</v>
      </c>
      <c r="C395" s="370">
        <v>0.5</v>
      </c>
      <c r="D395" s="370">
        <v>0.75</v>
      </c>
      <c r="E395" s="325">
        <f>6750/1000000</f>
        <v>6.7499999999999999E-3</v>
      </c>
    </row>
    <row r="396" spans="1:5" ht="51">
      <c r="A396" s="109" t="s">
        <v>969</v>
      </c>
      <c r="B396" s="370">
        <v>1</v>
      </c>
      <c r="C396" s="370">
        <v>0.5</v>
      </c>
      <c r="D396" s="370">
        <v>0.25</v>
      </c>
      <c r="E396" s="326">
        <f>6750/1000000</f>
        <v>6.7499999999999999E-3</v>
      </c>
    </row>
    <row r="397" spans="1:5" ht="29.25" customHeight="1">
      <c r="A397" s="109" t="s">
        <v>702</v>
      </c>
      <c r="B397" s="213">
        <v>0</v>
      </c>
      <c r="C397" s="213">
        <v>7</v>
      </c>
      <c r="D397" s="213">
        <v>17</v>
      </c>
      <c r="E397" s="369">
        <f>8438/1000000</f>
        <v>8.4379999999999993E-3</v>
      </c>
    </row>
    <row r="398" spans="1:5" ht="25.5">
      <c r="A398" s="109" t="s">
        <v>931</v>
      </c>
      <c r="B398" s="213">
        <v>0</v>
      </c>
      <c r="C398" s="213">
        <v>22</v>
      </c>
      <c r="D398" s="213">
        <v>34</v>
      </c>
      <c r="E398" s="369" t="s">
        <v>1330</v>
      </c>
    </row>
    <row r="399" spans="1:5" ht="25.5">
      <c r="A399" s="109" t="s">
        <v>930</v>
      </c>
      <c r="B399" s="213">
        <v>46</v>
      </c>
      <c r="C399" s="213">
        <v>46</v>
      </c>
      <c r="D399" s="213">
        <v>46</v>
      </c>
      <c r="E399" s="369" t="s">
        <v>1330</v>
      </c>
    </row>
    <row r="400" spans="1:5">
      <c r="A400" s="372" t="s">
        <v>718</v>
      </c>
      <c r="B400" s="373"/>
      <c r="C400" s="373"/>
      <c r="D400" s="373"/>
      <c r="E400" s="374"/>
    </row>
    <row r="401" spans="1:5" ht="51">
      <c r="A401" s="324" t="s">
        <v>968</v>
      </c>
      <c r="B401" s="244">
        <v>0</v>
      </c>
      <c r="C401" s="244">
        <v>0</v>
      </c>
      <c r="D401" s="244">
        <v>0.25</v>
      </c>
      <c r="E401" s="326">
        <f>6750/1000000</f>
        <v>6.7499999999999999E-3</v>
      </c>
    </row>
    <row r="402" spans="1:5" ht="51">
      <c r="A402" s="324" t="s">
        <v>969</v>
      </c>
      <c r="B402" s="244">
        <v>1</v>
      </c>
      <c r="C402" s="244">
        <v>1</v>
      </c>
      <c r="D402" s="244">
        <v>0.75</v>
      </c>
      <c r="E402" s="326">
        <f>6750/1000000</f>
        <v>6.7499999999999999E-3</v>
      </c>
    </row>
    <row r="403" spans="1:5" ht="25.5">
      <c r="A403" s="324" t="s">
        <v>702</v>
      </c>
      <c r="B403" s="51">
        <v>0</v>
      </c>
      <c r="C403" s="51">
        <v>0</v>
      </c>
      <c r="D403" s="51">
        <v>5</v>
      </c>
      <c r="E403" s="368">
        <f>8438/1000000</f>
        <v>8.4379999999999993E-3</v>
      </c>
    </row>
    <row r="404" spans="1:5" ht="25.5">
      <c r="A404" s="324" t="s">
        <v>931</v>
      </c>
      <c r="B404" s="51">
        <v>0</v>
      </c>
      <c r="C404" s="51">
        <v>0</v>
      </c>
      <c r="D404" s="51">
        <v>5</v>
      </c>
      <c r="E404" s="368" t="s">
        <v>1330</v>
      </c>
    </row>
    <row r="405" spans="1:5" ht="25.5">
      <c r="A405" s="324" t="s">
        <v>930</v>
      </c>
      <c r="B405" s="51">
        <v>20</v>
      </c>
      <c r="C405" s="51">
        <v>20</v>
      </c>
      <c r="D405" s="51">
        <v>20</v>
      </c>
      <c r="E405" s="368" t="s">
        <v>1330</v>
      </c>
    </row>
    <row r="406" spans="1:5">
      <c r="A406" s="372" t="s">
        <v>651</v>
      </c>
      <c r="B406" s="373"/>
      <c r="C406" s="373"/>
      <c r="D406" s="373"/>
      <c r="E406" s="374"/>
    </row>
    <row r="407" spans="1:5" ht="33" customHeight="1">
      <c r="A407" s="324" t="s">
        <v>928</v>
      </c>
      <c r="B407" s="244">
        <v>0</v>
      </c>
      <c r="C407" s="244">
        <v>0.4</v>
      </c>
      <c r="D407" s="244">
        <v>0.5</v>
      </c>
      <c r="E407" s="326">
        <f>6750/1000000</f>
        <v>6.7499999999999999E-3</v>
      </c>
    </row>
    <row r="408" spans="1:5" ht="25.5">
      <c r="A408" s="324" t="s">
        <v>929</v>
      </c>
      <c r="B408" s="244">
        <v>1</v>
      </c>
      <c r="C408" s="244">
        <v>0.6</v>
      </c>
      <c r="D408" s="244">
        <v>0.5</v>
      </c>
      <c r="E408" s="326">
        <f>6750/1000000</f>
        <v>6.7499999999999999E-3</v>
      </c>
    </row>
    <row r="409" spans="1:5" ht="25.5">
      <c r="A409" s="324" t="s">
        <v>702</v>
      </c>
      <c r="B409" s="51">
        <v>0</v>
      </c>
      <c r="C409" s="213">
        <v>2</v>
      </c>
      <c r="D409" s="213">
        <v>3</v>
      </c>
      <c r="E409" s="368">
        <f>8438/1000000</f>
        <v>8.4379999999999993E-3</v>
      </c>
    </row>
    <row r="410" spans="1:5" ht="25.5">
      <c r="A410" s="324" t="s">
        <v>931</v>
      </c>
      <c r="B410" s="51">
        <v>0</v>
      </c>
      <c r="C410" s="213">
        <v>5</v>
      </c>
      <c r="D410" s="213">
        <v>6</v>
      </c>
      <c r="E410" s="368" t="s">
        <v>1330</v>
      </c>
    </row>
    <row r="411" spans="1:5" ht="25.5">
      <c r="A411" s="324" t="s">
        <v>930</v>
      </c>
      <c r="B411" s="51">
        <v>13</v>
      </c>
      <c r="C411" s="213">
        <v>13</v>
      </c>
      <c r="D411" s="213">
        <v>13</v>
      </c>
      <c r="E411" s="368" t="s">
        <v>1330</v>
      </c>
    </row>
  </sheetData>
  <sheetProtection password="8725" sheet="1" objects="1" scenarios="1"/>
  <mergeCells count="45">
    <mergeCell ref="A3:E3"/>
    <mergeCell ref="A8:E8"/>
    <mergeCell ref="C261:E261"/>
    <mergeCell ref="A281:B281"/>
    <mergeCell ref="B219:C219"/>
    <mergeCell ref="B220:C220"/>
    <mergeCell ref="E223:E229"/>
    <mergeCell ref="A207:A208"/>
    <mergeCell ref="A210:A211"/>
    <mergeCell ref="A213:A214"/>
    <mergeCell ref="A192:A193"/>
    <mergeCell ref="A194:A195"/>
    <mergeCell ref="A197:A198"/>
    <mergeCell ref="A202:A203"/>
    <mergeCell ref="A156:C156"/>
    <mergeCell ref="C270:E270"/>
    <mergeCell ref="B380:D380"/>
    <mergeCell ref="A223:A226"/>
    <mergeCell ref="A233:C233"/>
    <mergeCell ref="C271:E271"/>
    <mergeCell ref="A182:A183"/>
    <mergeCell ref="A187:A188"/>
    <mergeCell ref="A204:A205"/>
    <mergeCell ref="C267:E267"/>
    <mergeCell ref="C262:E262"/>
    <mergeCell ref="C263:E263"/>
    <mergeCell ref="C264:E264"/>
    <mergeCell ref="C265:E265"/>
    <mergeCell ref="C266:E266"/>
    <mergeCell ref="A251:C251"/>
    <mergeCell ref="C268:E268"/>
    <mergeCell ref="C269:E269"/>
    <mergeCell ref="A262:A266"/>
    <mergeCell ref="A267:A270"/>
    <mergeCell ref="C260:E260"/>
    <mergeCell ref="A97:E97"/>
    <mergeCell ref="A162:C162"/>
    <mergeCell ref="E187:E188"/>
    <mergeCell ref="E190:E215"/>
    <mergeCell ref="E180:E185"/>
    <mergeCell ref="A257:E257"/>
    <mergeCell ref="C254:E254"/>
    <mergeCell ref="C258:E258"/>
    <mergeCell ref="C259:E259"/>
    <mergeCell ref="A258:A261"/>
  </mergeCells>
  <pageMargins left="0.25" right="0.25"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dimension ref="A1:Y1028"/>
  <sheetViews>
    <sheetView zoomScale="80" zoomScaleNormal="80" workbookViewId="0">
      <selection activeCell="G10" sqref="G10"/>
    </sheetView>
  </sheetViews>
  <sheetFormatPr defaultRowHeight="12.75"/>
  <cols>
    <col min="1" max="1" width="63.42578125" style="99" customWidth="1"/>
    <col min="2" max="2" width="10.42578125" style="99" customWidth="1"/>
    <col min="3" max="3" width="7.85546875" style="99" customWidth="1"/>
    <col min="4" max="21" width="6.42578125" style="99" customWidth="1"/>
    <col min="22" max="22" width="7.5703125" style="74" customWidth="1"/>
    <col min="23" max="23" width="9" style="74" customWidth="1"/>
    <col min="24" max="16384" width="9.140625" style="74"/>
  </cols>
  <sheetData>
    <row r="1" spans="1:23" s="198" customFormat="1" ht="30.75" customHeight="1">
      <c r="A1" s="295" t="s">
        <v>1381</v>
      </c>
      <c r="B1" s="281"/>
      <c r="C1" s="281"/>
      <c r="D1" s="281"/>
      <c r="E1" s="281"/>
      <c r="F1" s="281"/>
      <c r="G1" s="281"/>
      <c r="H1" s="281"/>
      <c r="I1" s="281"/>
      <c r="J1" s="281"/>
      <c r="K1" s="281"/>
      <c r="L1" s="281"/>
      <c r="M1" s="281"/>
      <c r="N1" s="281"/>
      <c r="O1" s="281"/>
      <c r="P1" s="281"/>
      <c r="Q1" s="281"/>
      <c r="R1" s="281"/>
      <c r="S1" s="281"/>
      <c r="T1" s="281"/>
      <c r="U1" s="281"/>
      <c r="V1" s="281"/>
      <c r="W1" s="281"/>
    </row>
    <row r="2" spans="1:23" ht="13.5" customHeight="1">
      <c r="A2" s="20"/>
      <c r="J2" s="20"/>
    </row>
    <row r="3" spans="1:23" ht="13.5" customHeight="1">
      <c r="A3" s="99" t="s">
        <v>162</v>
      </c>
    </row>
    <row r="4" spans="1:23" ht="28.5" customHeight="1">
      <c r="A4" s="391" t="s">
        <v>13</v>
      </c>
      <c r="B4" s="391"/>
      <c r="C4" s="391"/>
      <c r="D4" s="391"/>
      <c r="E4" s="391"/>
      <c r="F4" s="391"/>
      <c r="G4" s="391"/>
      <c r="H4" s="391"/>
      <c r="I4" s="391"/>
      <c r="J4" s="391"/>
      <c r="K4" s="391"/>
      <c r="L4" s="391"/>
      <c r="M4" s="391"/>
      <c r="N4" s="391"/>
      <c r="O4" s="391"/>
      <c r="P4" s="391"/>
      <c r="Q4" s="391"/>
      <c r="R4" s="391"/>
      <c r="S4" s="391"/>
      <c r="T4" s="391"/>
      <c r="U4" s="391"/>
      <c r="V4" s="391"/>
      <c r="W4" s="391"/>
    </row>
    <row r="5" spans="1:23" ht="20.25" customHeight="1">
      <c r="A5" s="254"/>
      <c r="B5" s="322"/>
      <c r="C5" s="322"/>
      <c r="D5" s="322"/>
      <c r="E5" s="322"/>
      <c r="F5" s="322"/>
      <c r="G5" s="322"/>
      <c r="H5" s="322"/>
      <c r="I5" s="322"/>
      <c r="J5" s="322"/>
      <c r="K5" s="322"/>
      <c r="L5" s="322"/>
      <c r="M5" s="322"/>
      <c r="N5" s="322"/>
      <c r="O5" s="322"/>
      <c r="P5" s="322"/>
      <c r="Q5" s="322"/>
      <c r="R5" s="322"/>
      <c r="S5" s="322"/>
      <c r="T5" s="322"/>
      <c r="U5" s="322"/>
      <c r="V5" s="125"/>
      <c r="W5" s="125"/>
    </row>
    <row r="6" spans="1:23" ht="19.5" customHeight="1">
      <c r="A6" s="436" t="s">
        <v>1113</v>
      </c>
      <c r="B6" s="436"/>
      <c r="C6" s="436"/>
      <c r="D6" s="436"/>
      <c r="E6" s="436"/>
      <c r="F6" s="436"/>
      <c r="G6" s="436"/>
      <c r="H6" s="436"/>
      <c r="I6" s="436"/>
      <c r="J6" s="436"/>
      <c r="K6" s="436"/>
      <c r="L6" s="436"/>
      <c r="M6" s="436"/>
      <c r="N6" s="436"/>
      <c r="O6" s="436"/>
      <c r="P6" s="436"/>
      <c r="Q6" s="436"/>
      <c r="R6" s="436"/>
      <c r="S6" s="436"/>
      <c r="T6" s="436"/>
      <c r="U6" s="436"/>
      <c r="V6" s="436"/>
      <c r="W6" s="436"/>
    </row>
    <row r="7" spans="1:23" ht="21.75" customHeight="1" thickBot="1">
      <c r="A7" s="435" t="s">
        <v>710</v>
      </c>
      <c r="B7" s="435"/>
      <c r="C7" s="435"/>
      <c r="D7" s="435"/>
      <c r="E7" s="435"/>
      <c r="F7" s="435"/>
      <c r="G7" s="435"/>
      <c r="H7" s="435"/>
      <c r="I7" s="435"/>
      <c r="J7" s="435"/>
      <c r="K7" s="435"/>
      <c r="L7" s="435"/>
      <c r="M7" s="435"/>
      <c r="N7" s="435"/>
      <c r="O7" s="435"/>
      <c r="P7" s="435"/>
      <c r="Q7" s="435"/>
      <c r="R7" s="435"/>
      <c r="S7" s="435"/>
      <c r="T7" s="435"/>
      <c r="U7" s="435"/>
      <c r="V7" s="435"/>
      <c r="W7" s="435"/>
    </row>
    <row r="8" spans="1:23" ht="17.25" customHeight="1">
      <c r="A8" s="256" t="s">
        <v>14</v>
      </c>
      <c r="B8" s="257">
        <v>2013</v>
      </c>
      <c r="C8" s="257">
        <v>2014</v>
      </c>
      <c r="D8" s="257">
        <v>2015</v>
      </c>
      <c r="E8" s="257">
        <v>2016</v>
      </c>
      <c r="F8" s="257">
        <v>2017</v>
      </c>
      <c r="G8" s="257">
        <v>2018</v>
      </c>
      <c r="H8" s="257">
        <v>2019</v>
      </c>
      <c r="I8" s="257">
        <v>2020</v>
      </c>
      <c r="J8" s="257">
        <v>2021</v>
      </c>
      <c r="K8" s="257">
        <v>2022</v>
      </c>
      <c r="L8" s="257">
        <v>2023</v>
      </c>
      <c r="M8" s="257">
        <v>2024</v>
      </c>
      <c r="N8" s="257">
        <v>2025</v>
      </c>
      <c r="O8" s="257">
        <v>2026</v>
      </c>
      <c r="P8" s="257">
        <v>2027</v>
      </c>
      <c r="Q8" s="257">
        <v>2028</v>
      </c>
      <c r="R8" s="257">
        <v>2029</v>
      </c>
      <c r="S8" s="257">
        <v>2030</v>
      </c>
      <c r="T8" s="257">
        <v>2031</v>
      </c>
      <c r="U8" s="257">
        <v>2032</v>
      </c>
      <c r="V8" s="402" t="s">
        <v>15</v>
      </c>
      <c r="W8" s="404" t="s">
        <v>1055</v>
      </c>
    </row>
    <row r="9" spans="1:23" ht="16.5" customHeight="1" thickBot="1">
      <c r="A9" s="258" t="s">
        <v>1052</v>
      </c>
      <c r="B9" s="259">
        <v>1</v>
      </c>
      <c r="C9" s="259">
        <v>2</v>
      </c>
      <c r="D9" s="259">
        <v>3</v>
      </c>
      <c r="E9" s="259">
        <v>4</v>
      </c>
      <c r="F9" s="259">
        <v>5</v>
      </c>
      <c r="G9" s="259">
        <v>6</v>
      </c>
      <c r="H9" s="259">
        <v>7</v>
      </c>
      <c r="I9" s="259">
        <v>8</v>
      </c>
      <c r="J9" s="259">
        <v>9</v>
      </c>
      <c r="K9" s="259">
        <v>10</v>
      </c>
      <c r="L9" s="259">
        <v>11</v>
      </c>
      <c r="M9" s="259">
        <v>12</v>
      </c>
      <c r="N9" s="259">
        <v>13</v>
      </c>
      <c r="O9" s="259">
        <v>14</v>
      </c>
      <c r="P9" s="259">
        <v>15</v>
      </c>
      <c r="Q9" s="259">
        <v>16</v>
      </c>
      <c r="R9" s="259">
        <v>17</v>
      </c>
      <c r="S9" s="259">
        <v>18</v>
      </c>
      <c r="T9" s="259">
        <v>19</v>
      </c>
      <c r="U9" s="259">
        <v>20</v>
      </c>
      <c r="V9" s="403"/>
      <c r="W9" s="405"/>
    </row>
    <row r="10" spans="1:23" ht="17.25" customHeight="1">
      <c r="A10" s="257" t="s">
        <v>652</v>
      </c>
      <c r="B10" s="188"/>
      <c r="C10" s="188"/>
      <c r="D10" s="188"/>
      <c r="E10" s="188"/>
      <c r="F10" s="188"/>
      <c r="G10" s="188"/>
      <c r="H10" s="188"/>
      <c r="I10" s="188"/>
      <c r="J10" s="188"/>
      <c r="K10" s="188"/>
      <c r="L10" s="188"/>
      <c r="M10" s="188"/>
      <c r="N10" s="188"/>
      <c r="O10" s="188"/>
      <c r="P10" s="188"/>
      <c r="Q10" s="188"/>
      <c r="R10" s="188"/>
      <c r="S10" s="188"/>
      <c r="T10" s="188"/>
      <c r="U10" s="188"/>
      <c r="V10" s="287"/>
      <c r="W10" s="130"/>
    </row>
    <row r="11" spans="1:23" ht="13.5" customHeight="1">
      <c r="A11" s="152"/>
      <c r="B11" s="52"/>
      <c r="C11" s="52"/>
      <c r="D11" s="52"/>
      <c r="E11" s="52"/>
      <c r="F11" s="52"/>
      <c r="G11" s="52"/>
      <c r="H11" s="52"/>
      <c r="I11" s="52"/>
      <c r="J11" s="52"/>
      <c r="K11" s="52"/>
      <c r="L11" s="52"/>
      <c r="M11" s="52"/>
      <c r="N11" s="52"/>
      <c r="O11" s="52"/>
      <c r="P11" s="52"/>
      <c r="Q11" s="52"/>
      <c r="R11" s="52"/>
      <c r="S11" s="52"/>
      <c r="T11" s="52"/>
      <c r="U11" s="52"/>
      <c r="V11" s="288"/>
      <c r="W11" s="133"/>
    </row>
    <row r="12" spans="1:23" s="100" customFormat="1" ht="13.5" customHeight="1">
      <c r="A12" s="197" t="s">
        <v>17</v>
      </c>
      <c r="B12" s="52"/>
      <c r="C12" s="52"/>
      <c r="D12" s="52"/>
      <c r="E12" s="52"/>
      <c r="F12" s="52"/>
      <c r="G12" s="52"/>
      <c r="H12" s="52"/>
      <c r="I12" s="52"/>
      <c r="J12" s="52"/>
      <c r="K12" s="52"/>
      <c r="L12" s="52"/>
      <c r="M12" s="52"/>
      <c r="N12" s="52"/>
      <c r="O12" s="52"/>
      <c r="P12" s="52"/>
      <c r="Q12" s="52"/>
      <c r="R12" s="52"/>
      <c r="S12" s="52"/>
      <c r="T12" s="52"/>
      <c r="U12" s="52"/>
      <c r="V12" s="180"/>
      <c r="W12" s="133"/>
    </row>
    <row r="13" spans="1:23" ht="13.5" customHeight="1">
      <c r="A13" s="10" t="s">
        <v>1170</v>
      </c>
      <c r="B13" s="52"/>
      <c r="C13" s="52"/>
      <c r="D13" s="52"/>
      <c r="E13" s="52"/>
      <c r="F13" s="52"/>
      <c r="G13" s="52"/>
      <c r="H13" s="52"/>
      <c r="I13" s="52"/>
      <c r="J13" s="52"/>
      <c r="K13" s="52"/>
      <c r="L13" s="52"/>
      <c r="M13" s="52"/>
      <c r="N13" s="52"/>
      <c r="O13" s="52"/>
      <c r="P13" s="52"/>
      <c r="Q13" s="52"/>
      <c r="R13" s="52"/>
      <c r="S13" s="52"/>
      <c r="T13" s="52"/>
      <c r="U13" s="52"/>
      <c r="V13" s="288"/>
      <c r="W13" s="133"/>
    </row>
    <row r="14" spans="1:23" s="99" customFormat="1" ht="13.5" customHeight="1">
      <c r="A14" s="100" t="s">
        <v>1098</v>
      </c>
      <c r="B14" s="148">
        <f>('Scenario 2 Assumptions'!$D$180+'Scenario 2 Assumptions'!$D$181)*'Scenario 2 Assumptions'!$B$176</f>
        <v>1.35E-2</v>
      </c>
      <c r="C14" s="148">
        <v>0</v>
      </c>
      <c r="D14" s="148">
        <v>0</v>
      </c>
      <c r="E14" s="148">
        <f>('Scenario 2 Assumptions'!$D$180+'Scenario 2 Assumptions'!$D$181)*'Scenario 2 Assumptions'!$B$176</f>
        <v>1.35E-2</v>
      </c>
      <c r="F14" s="148">
        <v>0</v>
      </c>
      <c r="G14" s="148">
        <v>0</v>
      </c>
      <c r="H14" s="148">
        <f>('Scenario 2 Assumptions'!$D$180+'Scenario 2 Assumptions'!$D$181)*'Scenario 2 Assumptions'!$B$176</f>
        <v>1.35E-2</v>
      </c>
      <c r="I14" s="148">
        <v>0</v>
      </c>
      <c r="J14" s="148">
        <v>0</v>
      </c>
      <c r="K14" s="148">
        <f>('Scenario 2 Assumptions'!$D$180+'Scenario 2 Assumptions'!$D$181)*'Scenario 2 Assumptions'!$B$176</f>
        <v>1.35E-2</v>
      </c>
      <c r="L14" s="148">
        <v>0</v>
      </c>
      <c r="M14" s="148">
        <v>0</v>
      </c>
      <c r="N14" s="148">
        <f>('Scenario 2 Assumptions'!$D$180+'Scenario 2 Assumptions'!$D$181)*'Scenario 2 Assumptions'!$B$176</f>
        <v>1.35E-2</v>
      </c>
      <c r="O14" s="148">
        <v>0</v>
      </c>
      <c r="P14" s="148">
        <v>0</v>
      </c>
      <c r="Q14" s="148">
        <f>('Scenario 2 Assumptions'!$D$180+'Scenario 2 Assumptions'!$D$181)*'Scenario 2 Assumptions'!$B$176</f>
        <v>1.35E-2</v>
      </c>
      <c r="R14" s="148">
        <v>0</v>
      </c>
      <c r="S14" s="148">
        <v>0</v>
      </c>
      <c r="T14" s="148">
        <f>('Scenario 2 Assumptions'!$D$180+'Scenario 2 Assumptions'!$D$181)*'Scenario 2 Assumptions'!$B$176</f>
        <v>1.35E-2</v>
      </c>
      <c r="U14" s="148">
        <v>0</v>
      </c>
      <c r="V14" s="180">
        <f t="shared" ref="V14:V26" si="0">SUM(B14:U14)</f>
        <v>9.4500000000000001E-2</v>
      </c>
      <c r="W14" s="133">
        <f t="shared" ref="W14:W26" si="1">V14/20</f>
        <v>4.725E-3</v>
      </c>
    </row>
    <row r="15" spans="1:23" s="99" customFormat="1" ht="13.5" customHeight="1">
      <c r="A15" s="100" t="s">
        <v>1090</v>
      </c>
      <c r="B15" s="148">
        <v>0</v>
      </c>
      <c r="C15" s="148">
        <v>0</v>
      </c>
      <c r="D15" s="148">
        <v>0</v>
      </c>
      <c r="E15" s="148">
        <f>('Scenario 2 Assumptions'!$D$187+'Scenario 2 Assumptions'!$D$188)*'Scenario 2 Assumptions'!$B$176</f>
        <v>1.35E-2</v>
      </c>
      <c r="F15" s="148">
        <v>0</v>
      </c>
      <c r="G15" s="148">
        <v>0</v>
      </c>
      <c r="H15" s="148">
        <v>0</v>
      </c>
      <c r="I15" s="148">
        <v>0</v>
      </c>
      <c r="J15" s="148">
        <f>('Scenario 2 Assumptions'!$D$187+'Scenario 2 Assumptions'!$D$188)*'Scenario 2 Assumptions'!$B$176</f>
        <v>1.35E-2</v>
      </c>
      <c r="K15" s="148">
        <v>0</v>
      </c>
      <c r="L15" s="148">
        <v>0</v>
      </c>
      <c r="M15" s="148">
        <v>0</v>
      </c>
      <c r="N15" s="148">
        <v>0</v>
      </c>
      <c r="O15" s="148">
        <f>('Scenario 2 Assumptions'!$D$187+'Scenario 2 Assumptions'!$D$188)*'Scenario 2 Assumptions'!$B$176</f>
        <v>1.35E-2</v>
      </c>
      <c r="P15" s="148">
        <v>0</v>
      </c>
      <c r="Q15" s="148">
        <v>0</v>
      </c>
      <c r="R15" s="148">
        <v>0</v>
      </c>
      <c r="S15" s="148">
        <v>0</v>
      </c>
      <c r="T15" s="148">
        <f>('Scenario 2 Assumptions'!$D$187+'Scenario 2 Assumptions'!$D$188)*'Scenario 2 Assumptions'!$B$176</f>
        <v>1.35E-2</v>
      </c>
      <c r="U15" s="148">
        <v>0</v>
      </c>
      <c r="V15" s="180">
        <f t="shared" si="0"/>
        <v>5.3999999999999999E-2</v>
      </c>
      <c r="W15" s="133">
        <f t="shared" si="1"/>
        <v>2.7000000000000001E-3</v>
      </c>
    </row>
    <row r="16" spans="1:23" s="99" customFormat="1" ht="13.5" customHeight="1">
      <c r="A16" s="100" t="s">
        <v>1187</v>
      </c>
      <c r="B16" s="148">
        <f>'Scenario 2 Assumptions'!$B$176*'Scenario 2 Assumptions'!$D$186</f>
        <v>6.7499999999999999E-3</v>
      </c>
      <c r="C16" s="148">
        <v>0</v>
      </c>
      <c r="D16" s="148">
        <v>0</v>
      </c>
      <c r="E16" s="148">
        <v>0</v>
      </c>
      <c r="F16" s="148">
        <v>0</v>
      </c>
      <c r="G16" s="148">
        <v>0</v>
      </c>
      <c r="H16" s="148">
        <v>0</v>
      </c>
      <c r="I16" s="148">
        <v>0</v>
      </c>
      <c r="J16" s="148">
        <v>0</v>
      </c>
      <c r="K16" s="148">
        <v>0</v>
      </c>
      <c r="L16" s="148">
        <v>0</v>
      </c>
      <c r="M16" s="148">
        <v>0</v>
      </c>
      <c r="N16" s="148">
        <v>0</v>
      </c>
      <c r="O16" s="148">
        <v>0</v>
      </c>
      <c r="P16" s="148">
        <v>0</v>
      </c>
      <c r="Q16" s="148">
        <v>0</v>
      </c>
      <c r="R16" s="148">
        <v>0</v>
      </c>
      <c r="S16" s="148">
        <v>0</v>
      </c>
      <c r="T16" s="148">
        <v>0</v>
      </c>
      <c r="U16" s="148">
        <v>0</v>
      </c>
      <c r="V16" s="180">
        <f t="shared" si="0"/>
        <v>6.7499999999999999E-3</v>
      </c>
      <c r="W16" s="133">
        <f t="shared" si="1"/>
        <v>3.3750000000000002E-4</v>
      </c>
    </row>
    <row r="17" spans="1:23" s="99" customFormat="1" ht="13.5" customHeight="1">
      <c r="A17" s="100" t="s">
        <v>1188</v>
      </c>
      <c r="B17" s="148">
        <f>('Scenario 2 Assumptions'!$D$182+'Scenario 2 Assumptions'!$D$183)*'Scenario 2 Assumptions'!$B$176</f>
        <v>1.35E-2</v>
      </c>
      <c r="C17" s="148">
        <v>0</v>
      </c>
      <c r="D17" s="148">
        <v>0</v>
      </c>
      <c r="E17" s="148">
        <f>('Scenario 2 Assumptions'!$D$182+'Scenario 2 Assumptions'!$D$183)*'Scenario 2 Assumptions'!$B$176</f>
        <v>1.35E-2</v>
      </c>
      <c r="F17" s="148">
        <v>0</v>
      </c>
      <c r="G17" s="148">
        <v>0</v>
      </c>
      <c r="H17" s="148">
        <f>('Scenario 2 Assumptions'!$D$182+'Scenario 2 Assumptions'!$D$183)*'Scenario 2 Assumptions'!$B$176</f>
        <v>1.35E-2</v>
      </c>
      <c r="I17" s="148">
        <v>0</v>
      </c>
      <c r="J17" s="148">
        <v>0</v>
      </c>
      <c r="K17" s="148">
        <f>('Scenario 2 Assumptions'!$D$182+'Scenario 2 Assumptions'!$D$183)*'Scenario 2 Assumptions'!$B$176</f>
        <v>1.35E-2</v>
      </c>
      <c r="L17" s="148">
        <v>0</v>
      </c>
      <c r="M17" s="148">
        <v>0</v>
      </c>
      <c r="N17" s="148">
        <f>('Scenario 2 Assumptions'!$D$182+'Scenario 2 Assumptions'!$D$183)*'Scenario 2 Assumptions'!$B$176</f>
        <v>1.35E-2</v>
      </c>
      <c r="O17" s="148">
        <v>0</v>
      </c>
      <c r="P17" s="148">
        <v>0</v>
      </c>
      <c r="Q17" s="148">
        <f>('Scenario 2 Assumptions'!$D$182+'Scenario 2 Assumptions'!$D$183)*'Scenario 2 Assumptions'!$B$176</f>
        <v>1.35E-2</v>
      </c>
      <c r="R17" s="148">
        <v>0</v>
      </c>
      <c r="S17" s="148">
        <v>0</v>
      </c>
      <c r="T17" s="148">
        <f>('Scenario 2 Assumptions'!$D$182+'Scenario 2 Assumptions'!$D$183)*'Scenario 2 Assumptions'!$B$176</f>
        <v>1.35E-2</v>
      </c>
      <c r="U17" s="148">
        <v>0</v>
      </c>
      <c r="V17" s="180">
        <f t="shared" si="0"/>
        <v>9.4500000000000001E-2</v>
      </c>
      <c r="W17" s="133">
        <f t="shared" si="1"/>
        <v>4.725E-3</v>
      </c>
    </row>
    <row r="18" spans="1:23" s="99" customFormat="1" ht="13.5" customHeight="1">
      <c r="A18" s="100" t="s">
        <v>1189</v>
      </c>
      <c r="B18" s="148">
        <f>'Scenario 2 Assumptions'!$D$184*'Scenario 2 Assumptions'!$B$176</f>
        <v>6.7499999999999999E-3</v>
      </c>
      <c r="C18" s="148">
        <v>0</v>
      </c>
      <c r="D18" s="148">
        <v>0</v>
      </c>
      <c r="E18" s="148">
        <f>'Scenario 2 Assumptions'!$D$184*'Scenario 2 Assumptions'!$B$176</f>
        <v>6.7499999999999999E-3</v>
      </c>
      <c r="F18" s="148">
        <v>0</v>
      </c>
      <c r="G18" s="148">
        <v>0</v>
      </c>
      <c r="H18" s="148">
        <f>'Scenario 2 Assumptions'!$D$184*'Scenario 2 Assumptions'!$B$176</f>
        <v>6.7499999999999999E-3</v>
      </c>
      <c r="I18" s="148">
        <v>0</v>
      </c>
      <c r="J18" s="148">
        <v>0</v>
      </c>
      <c r="K18" s="148">
        <f>'Scenario 2 Assumptions'!$D$184*'Scenario 2 Assumptions'!$B$176</f>
        <v>6.7499999999999999E-3</v>
      </c>
      <c r="L18" s="148">
        <v>0</v>
      </c>
      <c r="M18" s="148">
        <v>0</v>
      </c>
      <c r="N18" s="148">
        <f>'Scenario 2 Assumptions'!$D$184*'Scenario 2 Assumptions'!$B$176</f>
        <v>6.7499999999999999E-3</v>
      </c>
      <c r="O18" s="148">
        <v>0</v>
      </c>
      <c r="P18" s="148">
        <v>0</v>
      </c>
      <c r="Q18" s="148">
        <f>'Scenario 2 Assumptions'!$D$184*'Scenario 2 Assumptions'!$B$176</f>
        <v>6.7499999999999999E-3</v>
      </c>
      <c r="R18" s="148">
        <v>0</v>
      </c>
      <c r="S18" s="148">
        <v>0</v>
      </c>
      <c r="T18" s="148">
        <f>'Scenario 2 Assumptions'!$D$184*'Scenario 2 Assumptions'!$B$176</f>
        <v>6.7499999999999999E-3</v>
      </c>
      <c r="U18" s="148">
        <v>0</v>
      </c>
      <c r="V18" s="180">
        <f t="shared" ref="V18:V19" si="2">SUM(B18:U18)</f>
        <v>4.725E-2</v>
      </c>
      <c r="W18" s="133">
        <f t="shared" ref="W18:W19" si="3">V18/20</f>
        <v>2.3625E-3</v>
      </c>
    </row>
    <row r="19" spans="1:23" s="99" customFormat="1" ht="13.5" customHeight="1">
      <c r="A19" s="100" t="s">
        <v>1100</v>
      </c>
      <c r="B19" s="148">
        <f>'Scenario 2 Assumptions'!$D$185*'Scenario 2 Assumptions'!$B$176</f>
        <v>6.7499999999999999E-3</v>
      </c>
      <c r="C19" s="148">
        <v>0</v>
      </c>
      <c r="D19" s="148">
        <v>0</v>
      </c>
      <c r="E19" s="148">
        <f>'Scenario 2 Assumptions'!$D$185*'Scenario 2 Assumptions'!$B$176</f>
        <v>6.7499999999999999E-3</v>
      </c>
      <c r="F19" s="148">
        <v>0</v>
      </c>
      <c r="G19" s="148">
        <v>0</v>
      </c>
      <c r="H19" s="148">
        <f>'Scenario 2 Assumptions'!$D$185*'Scenario 2 Assumptions'!$B$176</f>
        <v>6.7499999999999999E-3</v>
      </c>
      <c r="I19" s="148">
        <v>0</v>
      </c>
      <c r="J19" s="148">
        <v>0</v>
      </c>
      <c r="K19" s="148">
        <f>'Scenario 2 Assumptions'!$D$185*'Scenario 2 Assumptions'!$B$176</f>
        <v>6.7499999999999999E-3</v>
      </c>
      <c r="L19" s="148">
        <v>0</v>
      </c>
      <c r="M19" s="148">
        <v>0</v>
      </c>
      <c r="N19" s="148">
        <f>'Scenario 2 Assumptions'!$D$185*'Scenario 2 Assumptions'!$B$176</f>
        <v>6.7499999999999999E-3</v>
      </c>
      <c r="O19" s="148">
        <v>0</v>
      </c>
      <c r="P19" s="148">
        <v>0</v>
      </c>
      <c r="Q19" s="148">
        <f>'Scenario 2 Assumptions'!$D$185*'Scenario 2 Assumptions'!$B$176</f>
        <v>6.7499999999999999E-3</v>
      </c>
      <c r="R19" s="148">
        <v>0</v>
      </c>
      <c r="S19" s="148">
        <v>0</v>
      </c>
      <c r="T19" s="148">
        <f>'Scenario 2 Assumptions'!$D$185*'Scenario 2 Assumptions'!$B$176</f>
        <v>6.7499999999999999E-3</v>
      </c>
      <c r="U19" s="148">
        <v>0</v>
      </c>
      <c r="V19" s="180">
        <f t="shared" si="2"/>
        <v>4.725E-2</v>
      </c>
      <c r="W19" s="133">
        <f t="shared" si="3"/>
        <v>2.3625E-3</v>
      </c>
    </row>
    <row r="20" spans="1:23" s="99" customFormat="1" ht="13.5" customHeight="1">
      <c r="A20" s="100"/>
      <c r="B20" s="148"/>
      <c r="C20" s="148"/>
      <c r="D20" s="148"/>
      <c r="E20" s="148"/>
      <c r="F20" s="148"/>
      <c r="G20" s="148"/>
      <c r="H20" s="148"/>
      <c r="I20" s="148"/>
      <c r="J20" s="148"/>
      <c r="K20" s="148"/>
      <c r="L20" s="148"/>
      <c r="M20" s="148"/>
      <c r="N20" s="148"/>
      <c r="O20" s="148"/>
      <c r="P20" s="148"/>
      <c r="Q20" s="148"/>
      <c r="R20" s="148"/>
      <c r="S20" s="148"/>
      <c r="T20" s="148"/>
      <c r="U20" s="148"/>
      <c r="V20" s="180"/>
      <c r="W20" s="133"/>
    </row>
    <row r="21" spans="1:23" s="99" customFormat="1" ht="13.5" customHeight="1">
      <c r="A21" s="10" t="s">
        <v>1171</v>
      </c>
      <c r="B21" s="148"/>
      <c r="C21" s="148"/>
      <c r="D21" s="148"/>
      <c r="E21" s="148"/>
      <c r="F21" s="148"/>
      <c r="G21" s="148"/>
      <c r="H21" s="148"/>
      <c r="I21" s="148"/>
      <c r="J21" s="148"/>
      <c r="K21" s="148"/>
      <c r="L21" s="148"/>
      <c r="M21" s="148"/>
      <c r="N21" s="148"/>
      <c r="O21" s="148"/>
      <c r="P21" s="148"/>
      <c r="Q21" s="148"/>
      <c r="R21" s="148"/>
      <c r="S21" s="148"/>
      <c r="T21" s="148"/>
      <c r="U21" s="148"/>
      <c r="V21" s="180"/>
      <c r="W21" s="133"/>
    </row>
    <row r="22" spans="1:23" s="99" customFormat="1" ht="13.5" customHeight="1">
      <c r="A22" s="100" t="s">
        <v>1094</v>
      </c>
      <c r="B22" s="148">
        <f>'Scenario 2 Assumptions'!$B$236</f>
        <v>24</v>
      </c>
      <c r="C22" s="148">
        <v>0</v>
      </c>
      <c r="D22" s="148">
        <v>0</v>
      </c>
      <c r="E22" s="148">
        <v>0</v>
      </c>
      <c r="F22" s="148">
        <v>0</v>
      </c>
      <c r="G22" s="148">
        <v>0</v>
      </c>
      <c r="H22" s="148">
        <v>0</v>
      </c>
      <c r="I22" s="148">
        <v>0</v>
      </c>
      <c r="J22" s="148">
        <v>0</v>
      </c>
      <c r="K22" s="148">
        <v>0</v>
      </c>
      <c r="L22" s="148">
        <v>0</v>
      </c>
      <c r="M22" s="148">
        <v>0</v>
      </c>
      <c r="N22" s="148">
        <v>0</v>
      </c>
      <c r="O22" s="148">
        <v>0</v>
      </c>
      <c r="P22" s="148">
        <v>0</v>
      </c>
      <c r="Q22" s="148">
        <v>0</v>
      </c>
      <c r="R22" s="148">
        <v>0</v>
      </c>
      <c r="S22" s="148">
        <v>0</v>
      </c>
      <c r="T22" s="148">
        <v>0</v>
      </c>
      <c r="U22" s="148">
        <v>0</v>
      </c>
      <c r="V22" s="180">
        <f t="shared" si="0"/>
        <v>24</v>
      </c>
      <c r="W22" s="133">
        <f t="shared" si="1"/>
        <v>1.2</v>
      </c>
    </row>
    <row r="23" spans="1:23" s="99" customFormat="1" ht="13.5" customHeight="1">
      <c r="A23" s="100"/>
      <c r="B23" s="148"/>
      <c r="C23" s="148"/>
      <c r="D23" s="148"/>
      <c r="E23" s="148"/>
      <c r="F23" s="148"/>
      <c r="G23" s="148"/>
      <c r="H23" s="148"/>
      <c r="I23" s="148"/>
      <c r="J23" s="148"/>
      <c r="K23" s="148"/>
      <c r="L23" s="148"/>
      <c r="M23" s="148"/>
      <c r="N23" s="148"/>
      <c r="O23" s="148"/>
      <c r="P23" s="148"/>
      <c r="Q23" s="148"/>
      <c r="R23" s="148"/>
      <c r="S23" s="148"/>
      <c r="T23" s="148"/>
      <c r="U23" s="148"/>
      <c r="V23" s="180"/>
      <c r="W23" s="133"/>
    </row>
    <row r="24" spans="1:23" s="99" customFormat="1" ht="13.5" customHeight="1">
      <c r="A24" s="10" t="s">
        <v>1172</v>
      </c>
      <c r="B24" s="148"/>
      <c r="C24" s="148"/>
      <c r="D24" s="148"/>
      <c r="E24" s="148"/>
      <c r="F24" s="148"/>
      <c r="G24" s="148"/>
      <c r="H24" s="148"/>
      <c r="I24" s="148"/>
      <c r="J24" s="148"/>
      <c r="K24" s="148"/>
      <c r="L24" s="148"/>
      <c r="M24" s="148"/>
      <c r="N24" s="148"/>
      <c r="O24" s="148"/>
      <c r="P24" s="148"/>
      <c r="Q24" s="148"/>
      <c r="R24" s="148"/>
      <c r="S24" s="148"/>
      <c r="T24" s="148"/>
      <c r="U24" s="148"/>
      <c r="V24" s="180"/>
      <c r="W24" s="133"/>
    </row>
    <row r="25" spans="1:23" s="99" customFormat="1" ht="13.5" customHeight="1">
      <c r="A25" s="100" t="s">
        <v>1101</v>
      </c>
      <c r="B25" s="148">
        <v>0</v>
      </c>
      <c r="C25" s="148">
        <f>'Scenario 2 Assumptions'!$B$242*'Scenario 2 Assumptions'!$C$246</f>
        <v>6.7499999999999999E-3</v>
      </c>
      <c r="D25" s="148">
        <v>0</v>
      </c>
      <c r="E25" s="148">
        <v>0</v>
      </c>
      <c r="F25" s="148">
        <f>'Scenario 2 Assumptions'!$B$242*'Scenario 2 Assumptions'!$C$246</f>
        <v>6.7499999999999999E-3</v>
      </c>
      <c r="G25" s="148">
        <v>0</v>
      </c>
      <c r="H25" s="148">
        <v>0</v>
      </c>
      <c r="I25" s="148">
        <v>0</v>
      </c>
      <c r="J25" s="148">
        <v>0</v>
      </c>
      <c r="K25" s="148">
        <v>0</v>
      </c>
      <c r="L25" s="148">
        <v>0</v>
      </c>
      <c r="M25" s="148">
        <v>0</v>
      </c>
      <c r="N25" s="148">
        <v>0</v>
      </c>
      <c r="O25" s="148">
        <v>0</v>
      </c>
      <c r="P25" s="148">
        <v>0</v>
      </c>
      <c r="Q25" s="148">
        <v>0</v>
      </c>
      <c r="R25" s="148">
        <v>0</v>
      </c>
      <c r="S25" s="148">
        <v>0</v>
      </c>
      <c r="T25" s="148">
        <v>0</v>
      </c>
      <c r="U25" s="148">
        <v>0</v>
      </c>
      <c r="V25" s="180">
        <f t="shared" si="0"/>
        <v>1.35E-2</v>
      </c>
      <c r="W25" s="133">
        <f t="shared" si="1"/>
        <v>6.7500000000000004E-4</v>
      </c>
    </row>
    <row r="26" spans="1:23" s="99" customFormat="1" ht="13.5" customHeight="1">
      <c r="A26" s="100" t="s">
        <v>1175</v>
      </c>
      <c r="B26" s="148">
        <v>0</v>
      </c>
      <c r="C26" s="148">
        <v>0</v>
      </c>
      <c r="D26" s="148">
        <v>0</v>
      </c>
      <c r="E26" s="148">
        <v>0</v>
      </c>
      <c r="F26" s="148">
        <v>0</v>
      </c>
      <c r="G26" s="148">
        <v>0</v>
      </c>
      <c r="H26" s="148">
        <v>0</v>
      </c>
      <c r="I26" s="148">
        <v>0</v>
      </c>
      <c r="J26" s="148">
        <v>0</v>
      </c>
      <c r="K26" s="148">
        <f>'Scenario 2 Assumptions'!$B$242*'Scenario 2 Assumptions'!$C$247</f>
        <v>6.7499999999999999E-3</v>
      </c>
      <c r="L26" s="148">
        <v>0</v>
      </c>
      <c r="M26" s="148">
        <v>0</v>
      </c>
      <c r="N26" s="148">
        <v>0</v>
      </c>
      <c r="O26" s="148">
        <v>0</v>
      </c>
      <c r="P26" s="148">
        <v>0</v>
      </c>
      <c r="Q26" s="148">
        <v>0</v>
      </c>
      <c r="R26" s="148">
        <v>0</v>
      </c>
      <c r="S26" s="148">
        <v>0</v>
      </c>
      <c r="T26" s="148">
        <v>0</v>
      </c>
      <c r="U26" s="148">
        <v>0</v>
      </c>
      <c r="V26" s="180">
        <f t="shared" si="0"/>
        <v>6.7499999999999999E-3</v>
      </c>
      <c r="W26" s="133">
        <f t="shared" si="1"/>
        <v>3.3750000000000002E-4</v>
      </c>
    </row>
    <row r="27" spans="1:23" s="99" customFormat="1" ht="13.5" customHeight="1">
      <c r="A27" s="100"/>
      <c r="B27" s="148"/>
      <c r="C27" s="148"/>
      <c r="D27" s="148"/>
      <c r="E27" s="148"/>
      <c r="F27" s="148"/>
      <c r="G27" s="148"/>
      <c r="H27" s="148"/>
      <c r="I27" s="148"/>
      <c r="J27" s="148"/>
      <c r="K27" s="148"/>
      <c r="L27" s="148"/>
      <c r="M27" s="148"/>
      <c r="N27" s="148"/>
      <c r="O27" s="148"/>
      <c r="P27" s="148"/>
      <c r="Q27" s="148"/>
      <c r="R27" s="148"/>
      <c r="S27" s="148"/>
      <c r="T27" s="148"/>
      <c r="U27" s="148"/>
      <c r="V27" s="180"/>
      <c r="W27" s="133"/>
    </row>
    <row r="28" spans="1:23" s="100" customFormat="1" ht="13.5" customHeight="1">
      <c r="A28" s="10" t="s">
        <v>1158</v>
      </c>
      <c r="B28" s="52"/>
      <c r="C28" s="52"/>
      <c r="D28" s="52"/>
      <c r="E28" s="52"/>
      <c r="F28" s="52"/>
      <c r="G28" s="52"/>
      <c r="H28" s="52"/>
      <c r="I28" s="52"/>
      <c r="J28" s="52"/>
      <c r="K28" s="52"/>
      <c r="L28" s="52"/>
      <c r="M28" s="52"/>
      <c r="N28" s="52"/>
      <c r="O28" s="52"/>
      <c r="P28" s="52"/>
      <c r="Q28" s="52"/>
      <c r="R28" s="52"/>
      <c r="S28" s="52"/>
      <c r="T28" s="52"/>
      <c r="U28" s="52"/>
      <c r="V28" s="180"/>
      <c r="W28" s="133"/>
    </row>
    <row r="29" spans="1:23" s="100" customFormat="1" ht="13.5" customHeight="1">
      <c r="A29" s="100" t="s">
        <v>1096</v>
      </c>
      <c r="B29" s="52">
        <f>'Scenario 2 Assumptions'!$B$6*('Scenario 2 Assumptions'!$D$38+'Scenario 2 Assumptions'!$D$39+'Scenario 2 Assumptions'!$D$40+'Scenario 2 Assumptions'!$D$41)</f>
        <v>1.2825E-2</v>
      </c>
      <c r="C29" s="52">
        <f>'Scenario 2 Assumptions'!$B$6*('Scenario 2 Assumptions'!$D$38+'Scenario 2 Assumptions'!$D$39+'Scenario 2 Assumptions'!$D$40+'Scenario 2 Assumptions'!$D$41)</f>
        <v>1.2825E-2</v>
      </c>
      <c r="D29" s="52">
        <f>'Scenario 2 Assumptions'!$B$6*('Scenario 2 Assumptions'!$D$38+'Scenario 2 Assumptions'!$D$39+'Scenario 2 Assumptions'!$D$40+'Scenario 2 Assumptions'!$D$41)</f>
        <v>1.2825E-2</v>
      </c>
      <c r="E29" s="52">
        <f>'Scenario 2 Assumptions'!$B$6*('Scenario 2 Assumptions'!$D$38+'Scenario 2 Assumptions'!$D$39+'Scenario 2 Assumptions'!$D$40+'Scenario 2 Assumptions'!$D$41)</f>
        <v>1.2825E-2</v>
      </c>
      <c r="F29" s="52">
        <f>'Scenario 2 Assumptions'!$B$6*('Scenario 2 Assumptions'!$D$38+'Scenario 2 Assumptions'!$D$39+'Scenario 2 Assumptions'!$D$40+'Scenario 2 Assumptions'!$D$41)</f>
        <v>1.2825E-2</v>
      </c>
      <c r="G29" s="52">
        <f>'Scenario 2 Assumptions'!$B$6*('Scenario 2 Assumptions'!$D$38+'Scenario 2 Assumptions'!$D$39+'Scenario 2 Assumptions'!$D$40+'Scenario 2 Assumptions'!$D$41)</f>
        <v>1.2825E-2</v>
      </c>
      <c r="H29" s="52">
        <f>'Scenario 2 Assumptions'!$B$6*('Scenario 2 Assumptions'!$D$38+'Scenario 2 Assumptions'!$D$39+'Scenario 2 Assumptions'!$D$40+'Scenario 2 Assumptions'!$D$41)</f>
        <v>1.2825E-2</v>
      </c>
      <c r="I29" s="52">
        <f>'Scenario 2 Assumptions'!$B$6*('Scenario 2 Assumptions'!$D$38+'Scenario 2 Assumptions'!$D$39+'Scenario 2 Assumptions'!$D$40+'Scenario 2 Assumptions'!$D$41)</f>
        <v>1.2825E-2</v>
      </c>
      <c r="J29" s="52">
        <f>'Scenario 2 Assumptions'!$B$6*('Scenario 2 Assumptions'!$D$38+'Scenario 2 Assumptions'!$D$39+'Scenario 2 Assumptions'!$D$40+'Scenario 2 Assumptions'!$D$41)</f>
        <v>1.2825E-2</v>
      </c>
      <c r="K29" s="52">
        <f>'Scenario 2 Assumptions'!$B$6*('Scenario 2 Assumptions'!$D$38+'Scenario 2 Assumptions'!$D$39+'Scenario 2 Assumptions'!$D$40+'Scenario 2 Assumptions'!$D$41)</f>
        <v>1.2825E-2</v>
      </c>
      <c r="L29" s="52">
        <f>'Scenario 2 Assumptions'!$B$6*('Scenario 2 Assumptions'!$D$38+'Scenario 2 Assumptions'!$D$39+'Scenario 2 Assumptions'!$D$40+'Scenario 2 Assumptions'!$D$41)</f>
        <v>1.2825E-2</v>
      </c>
      <c r="M29" s="52">
        <f>'Scenario 2 Assumptions'!$B$6*('Scenario 2 Assumptions'!$D$38+'Scenario 2 Assumptions'!$D$39+'Scenario 2 Assumptions'!$D$40+'Scenario 2 Assumptions'!$D$41)</f>
        <v>1.2825E-2</v>
      </c>
      <c r="N29" s="52">
        <f>'Scenario 2 Assumptions'!$B$6*('Scenario 2 Assumptions'!$D$38+'Scenario 2 Assumptions'!$D$39+'Scenario 2 Assumptions'!$D$40+'Scenario 2 Assumptions'!$D$41)</f>
        <v>1.2825E-2</v>
      </c>
      <c r="O29" s="52">
        <f>'Scenario 2 Assumptions'!$B$6*('Scenario 2 Assumptions'!$D$38+'Scenario 2 Assumptions'!$D$39+'Scenario 2 Assumptions'!$D$40+'Scenario 2 Assumptions'!$D$41)</f>
        <v>1.2825E-2</v>
      </c>
      <c r="P29" s="52">
        <f>'Scenario 2 Assumptions'!$B$6*('Scenario 2 Assumptions'!$D$38+'Scenario 2 Assumptions'!$D$39+'Scenario 2 Assumptions'!$D$40+'Scenario 2 Assumptions'!$D$41)</f>
        <v>1.2825E-2</v>
      </c>
      <c r="Q29" s="52">
        <f>'Scenario 2 Assumptions'!$B$6*('Scenario 2 Assumptions'!$D$38+'Scenario 2 Assumptions'!$D$39+'Scenario 2 Assumptions'!$D$40+'Scenario 2 Assumptions'!$D$41)</f>
        <v>1.2825E-2</v>
      </c>
      <c r="R29" s="52">
        <f>'Scenario 2 Assumptions'!$B$6*('Scenario 2 Assumptions'!$D$38+'Scenario 2 Assumptions'!$D$39+'Scenario 2 Assumptions'!$D$40+'Scenario 2 Assumptions'!$D$41)</f>
        <v>1.2825E-2</v>
      </c>
      <c r="S29" s="52">
        <f>'Scenario 2 Assumptions'!$B$6*('Scenario 2 Assumptions'!$D$38+'Scenario 2 Assumptions'!$D$39+'Scenario 2 Assumptions'!$D$40+'Scenario 2 Assumptions'!$D$41)</f>
        <v>1.2825E-2</v>
      </c>
      <c r="T29" s="52">
        <f>'Scenario 2 Assumptions'!$B$6*('Scenario 2 Assumptions'!$D$38+'Scenario 2 Assumptions'!$D$39+'Scenario 2 Assumptions'!$D$40+'Scenario 2 Assumptions'!$D$41)</f>
        <v>1.2825E-2</v>
      </c>
      <c r="U29" s="52">
        <f>'Scenario 2 Assumptions'!$B$6*('Scenario 2 Assumptions'!$D$38+'Scenario 2 Assumptions'!$D$39+'Scenario 2 Assumptions'!$D$40+'Scenario 2 Assumptions'!$D$41)</f>
        <v>1.2825E-2</v>
      </c>
      <c r="V29" s="180">
        <f>SUM(B29:U29)</f>
        <v>0.25650000000000001</v>
      </c>
      <c r="W29" s="133">
        <f>V29/20</f>
        <v>1.2825E-2</v>
      </c>
    </row>
    <row r="30" spans="1:23" s="99" customFormat="1" ht="13.5" customHeight="1">
      <c r="A30" s="100" t="s">
        <v>1097</v>
      </c>
      <c r="B30" s="52">
        <f>'Scenario 2 Assumptions'!$B$6*('Scenario 2 Assumptions'!$D$19+'Scenario 2 Assumptions'!$D$20)</f>
        <v>0</v>
      </c>
      <c r="C30" s="52">
        <f>'Scenario 2 Assumptions'!$B$6*('Scenario 2 Assumptions'!$D$19+'Scenario 2 Assumptions'!$D$20)</f>
        <v>0</v>
      </c>
      <c r="D30" s="52">
        <f>'Scenario 2 Assumptions'!$B$6*('Scenario 2 Assumptions'!$D$19+'Scenario 2 Assumptions'!$D$20)</f>
        <v>0</v>
      </c>
      <c r="E30" s="52">
        <f>'Scenario 2 Assumptions'!$B$6*('Scenario 2 Assumptions'!$D$19+'Scenario 2 Assumptions'!$D$20)</f>
        <v>0</v>
      </c>
      <c r="F30" s="52">
        <f>'Scenario 2 Assumptions'!$B$6*('Scenario 2 Assumptions'!$D$19+'Scenario 2 Assumptions'!$D$20)</f>
        <v>0</v>
      </c>
      <c r="G30" s="52">
        <f>'Scenario 2 Assumptions'!$B$6*('Scenario 2 Assumptions'!$D$19+'Scenario 2 Assumptions'!$D$20)</f>
        <v>0</v>
      </c>
      <c r="H30" s="52">
        <f>'Scenario 2 Assumptions'!$B$6*('Scenario 2 Assumptions'!$D$19+'Scenario 2 Assumptions'!$D$20)</f>
        <v>0</v>
      </c>
      <c r="I30" s="52">
        <f>'Scenario 2 Assumptions'!$B$6*('Scenario 2 Assumptions'!$D$19+'Scenario 2 Assumptions'!$D$20)</f>
        <v>0</v>
      </c>
      <c r="J30" s="52">
        <f>'Scenario 2 Assumptions'!$B$6*('Scenario 2 Assumptions'!$D$19+'Scenario 2 Assumptions'!$D$20)</f>
        <v>0</v>
      </c>
      <c r="K30" s="52">
        <f>'Scenario 2 Assumptions'!$B$6*('Scenario 2 Assumptions'!$D$19+'Scenario 2 Assumptions'!$D$20)</f>
        <v>0</v>
      </c>
      <c r="L30" s="52">
        <f>'Scenario 2 Assumptions'!$B$6*('Scenario 2 Assumptions'!$D$19+'Scenario 2 Assumptions'!$D$20)</f>
        <v>0</v>
      </c>
      <c r="M30" s="52">
        <f>'Scenario 2 Assumptions'!$B$6*('Scenario 2 Assumptions'!$D$19+'Scenario 2 Assumptions'!$D$20)</f>
        <v>0</v>
      </c>
      <c r="N30" s="52">
        <f>'Scenario 2 Assumptions'!$B$6*('Scenario 2 Assumptions'!$D$19+'Scenario 2 Assumptions'!$D$20)</f>
        <v>0</v>
      </c>
      <c r="O30" s="52">
        <f>'Scenario 2 Assumptions'!$B$6*('Scenario 2 Assumptions'!$D$19+'Scenario 2 Assumptions'!$D$20)</f>
        <v>0</v>
      </c>
      <c r="P30" s="52">
        <f>'Scenario 2 Assumptions'!$B$6*('Scenario 2 Assumptions'!$D$19+'Scenario 2 Assumptions'!$D$20)</f>
        <v>0</v>
      </c>
      <c r="Q30" s="52">
        <f>'Scenario 2 Assumptions'!$B$6*('Scenario 2 Assumptions'!$D$19+'Scenario 2 Assumptions'!$D$20)</f>
        <v>0</v>
      </c>
      <c r="R30" s="52">
        <f>'Scenario 2 Assumptions'!$B$6*('Scenario 2 Assumptions'!$D$19+'Scenario 2 Assumptions'!$D$20)</f>
        <v>0</v>
      </c>
      <c r="S30" s="52">
        <f>'Scenario 2 Assumptions'!$B$6*('Scenario 2 Assumptions'!$D$19+'Scenario 2 Assumptions'!$D$20)</f>
        <v>0</v>
      </c>
      <c r="T30" s="52">
        <f>'Scenario 2 Assumptions'!$B$6*('Scenario 2 Assumptions'!$D$19+'Scenario 2 Assumptions'!$D$20)</f>
        <v>0</v>
      </c>
      <c r="U30" s="52">
        <f>'Scenario 2 Assumptions'!$B$6*('Scenario 2 Assumptions'!$D$19+'Scenario 2 Assumptions'!$D$20)</f>
        <v>0</v>
      </c>
      <c r="V30" s="180">
        <f>SUM(B30:U30)</f>
        <v>0</v>
      </c>
      <c r="W30" s="133">
        <f>V30/20</f>
        <v>0</v>
      </c>
    </row>
    <row r="31" spans="1:23" s="99" customFormat="1" ht="13.5" customHeight="1">
      <c r="A31" s="100" t="s">
        <v>1100</v>
      </c>
      <c r="B31" s="52">
        <f>'Scenario 2 Assumptions'!$B$6*('Scenario 2 Assumptions'!$D$21)</f>
        <v>4.0499999999999998E-3</v>
      </c>
      <c r="C31" s="52">
        <f>'Scenario 2 Assumptions'!$B$6*('Scenario 2 Assumptions'!$D$21)</f>
        <v>4.0499999999999998E-3</v>
      </c>
      <c r="D31" s="52">
        <f>'Scenario 2 Assumptions'!$B$6*('Scenario 2 Assumptions'!$D$21)</f>
        <v>4.0499999999999998E-3</v>
      </c>
      <c r="E31" s="52">
        <f>'Scenario 2 Assumptions'!$B$6*('Scenario 2 Assumptions'!$D$21)</f>
        <v>4.0499999999999998E-3</v>
      </c>
      <c r="F31" s="52">
        <f>'Scenario 2 Assumptions'!$B$6*('Scenario 2 Assumptions'!$D$21)</f>
        <v>4.0499999999999998E-3</v>
      </c>
      <c r="G31" s="52">
        <f>'Scenario 2 Assumptions'!$B$6*('Scenario 2 Assumptions'!$D$21)</f>
        <v>4.0499999999999998E-3</v>
      </c>
      <c r="H31" s="52">
        <f>'Scenario 2 Assumptions'!$B$6*('Scenario 2 Assumptions'!$D$21)</f>
        <v>4.0499999999999998E-3</v>
      </c>
      <c r="I31" s="52">
        <f>'Scenario 2 Assumptions'!$B$6*('Scenario 2 Assumptions'!$D$21)</f>
        <v>4.0499999999999998E-3</v>
      </c>
      <c r="J31" s="52">
        <f>'Scenario 2 Assumptions'!$B$6*('Scenario 2 Assumptions'!$D$21)</f>
        <v>4.0499999999999998E-3</v>
      </c>
      <c r="K31" s="52">
        <f>'Scenario 2 Assumptions'!$B$6*('Scenario 2 Assumptions'!$D$21)</f>
        <v>4.0499999999999998E-3</v>
      </c>
      <c r="L31" s="52">
        <f>'Scenario 2 Assumptions'!$B$6*('Scenario 2 Assumptions'!$D$21)</f>
        <v>4.0499999999999998E-3</v>
      </c>
      <c r="M31" s="52">
        <f>'Scenario 2 Assumptions'!$B$6*('Scenario 2 Assumptions'!$D$21)</f>
        <v>4.0499999999999998E-3</v>
      </c>
      <c r="N31" s="52">
        <f>'Scenario 2 Assumptions'!$B$6*('Scenario 2 Assumptions'!$D$21)</f>
        <v>4.0499999999999998E-3</v>
      </c>
      <c r="O31" s="52">
        <f>'Scenario 2 Assumptions'!$B$6*('Scenario 2 Assumptions'!$D$21)</f>
        <v>4.0499999999999998E-3</v>
      </c>
      <c r="P31" s="52">
        <f>'Scenario 2 Assumptions'!$B$6*('Scenario 2 Assumptions'!$D$21)</f>
        <v>4.0499999999999998E-3</v>
      </c>
      <c r="Q31" s="52">
        <f>'Scenario 2 Assumptions'!$B$6*('Scenario 2 Assumptions'!$D$21)</f>
        <v>4.0499999999999998E-3</v>
      </c>
      <c r="R31" s="52">
        <f>'Scenario 2 Assumptions'!$B$6*('Scenario 2 Assumptions'!$D$21)</f>
        <v>4.0499999999999998E-3</v>
      </c>
      <c r="S31" s="52">
        <f>'Scenario 2 Assumptions'!$B$6*('Scenario 2 Assumptions'!$D$21)</f>
        <v>4.0499999999999998E-3</v>
      </c>
      <c r="T31" s="52">
        <f>'Scenario 2 Assumptions'!$B$6*('Scenario 2 Assumptions'!$D$21)</f>
        <v>4.0499999999999998E-3</v>
      </c>
      <c r="U31" s="52">
        <f>'Scenario 2 Assumptions'!$B$6*('Scenario 2 Assumptions'!$D$21)</f>
        <v>4.0499999999999998E-3</v>
      </c>
      <c r="V31" s="180">
        <f>SUM(B31:U31)</f>
        <v>8.0999999999999975E-2</v>
      </c>
      <c r="W31" s="133">
        <f>V31/20</f>
        <v>4.0499999999999989E-3</v>
      </c>
    </row>
    <row r="32" spans="1:23" s="99" customFormat="1" ht="13.5" customHeight="1">
      <c r="A32" s="28" t="s">
        <v>1101</v>
      </c>
      <c r="B32" s="52">
        <f>'Scenario 2 Assumptions'!$B$6*('Scenario 2 Assumptions'!$D$12)</f>
        <v>0</v>
      </c>
      <c r="C32" s="52">
        <f>'Scenario 2 Assumptions'!$B$6*('Scenario 2 Assumptions'!$D$12)</f>
        <v>0</v>
      </c>
      <c r="D32" s="52">
        <f>'Scenario 2 Assumptions'!$B$6*('Scenario 2 Assumptions'!$D$12)</f>
        <v>0</v>
      </c>
      <c r="E32" s="52">
        <f>'Scenario 2 Assumptions'!$B$6*('Scenario 2 Assumptions'!$D$12)</f>
        <v>0</v>
      </c>
      <c r="F32" s="52">
        <f>'Scenario 2 Assumptions'!$B$6*('Scenario 2 Assumptions'!$D$12)</f>
        <v>0</v>
      </c>
      <c r="G32" s="52">
        <f>'Scenario 2 Assumptions'!$B$6*('Scenario 2 Assumptions'!$D$12)</f>
        <v>0</v>
      </c>
      <c r="H32" s="52">
        <f>'Scenario 2 Assumptions'!$B$6*('Scenario 2 Assumptions'!$D$12)</f>
        <v>0</v>
      </c>
      <c r="I32" s="52">
        <f>'Scenario 2 Assumptions'!$B$6*('Scenario 2 Assumptions'!$D$12)</f>
        <v>0</v>
      </c>
      <c r="J32" s="52">
        <f>'Scenario 2 Assumptions'!$B$6*('Scenario 2 Assumptions'!$D$12)</f>
        <v>0</v>
      </c>
      <c r="K32" s="52">
        <f>'Scenario 2 Assumptions'!$B$6*('Scenario 2 Assumptions'!$D$12)</f>
        <v>0</v>
      </c>
      <c r="L32" s="52">
        <f>'Scenario 2 Assumptions'!$B$6*('Scenario 2 Assumptions'!$D$12)</f>
        <v>0</v>
      </c>
      <c r="M32" s="52">
        <f>'Scenario 2 Assumptions'!$B$6*('Scenario 2 Assumptions'!$D$12)</f>
        <v>0</v>
      </c>
      <c r="N32" s="52">
        <f>'Scenario 2 Assumptions'!$B$6*('Scenario 2 Assumptions'!$D$12)</f>
        <v>0</v>
      </c>
      <c r="O32" s="52">
        <f>'Scenario 2 Assumptions'!$B$6*('Scenario 2 Assumptions'!$D$12)</f>
        <v>0</v>
      </c>
      <c r="P32" s="52">
        <f>'Scenario 2 Assumptions'!$B$6*('Scenario 2 Assumptions'!$D$12)</f>
        <v>0</v>
      </c>
      <c r="Q32" s="52">
        <f>'Scenario 2 Assumptions'!$B$6*('Scenario 2 Assumptions'!$D$12)</f>
        <v>0</v>
      </c>
      <c r="R32" s="52">
        <f>'Scenario 2 Assumptions'!$B$6*('Scenario 2 Assumptions'!$D$12)</f>
        <v>0</v>
      </c>
      <c r="S32" s="52">
        <f>'Scenario 2 Assumptions'!$B$6*('Scenario 2 Assumptions'!$D$12)</f>
        <v>0</v>
      </c>
      <c r="T32" s="52">
        <f>'Scenario 2 Assumptions'!$B$6*('Scenario 2 Assumptions'!$D$12)</f>
        <v>0</v>
      </c>
      <c r="U32" s="52">
        <f>'Scenario 2 Assumptions'!$B$6*('Scenario 2 Assumptions'!$D$12)</f>
        <v>0</v>
      </c>
      <c r="V32" s="180">
        <f t="shared" ref="V32:V43" si="4">SUM(B32:U32)</f>
        <v>0</v>
      </c>
      <c r="W32" s="133">
        <f t="shared" ref="W32:W56" si="5">V32/20</f>
        <v>0</v>
      </c>
    </row>
    <row r="33" spans="1:23" s="99" customFormat="1" ht="13.5" customHeight="1">
      <c r="A33" s="28" t="s">
        <v>1176</v>
      </c>
      <c r="B33" s="52">
        <f>'Scenario 2 Assumptions'!$B$6*('Scenario 2 Assumptions'!$D$13)</f>
        <v>0</v>
      </c>
      <c r="C33" s="52">
        <f>'Scenario 2 Assumptions'!$B$6*('Scenario 2 Assumptions'!$D$13)</f>
        <v>0</v>
      </c>
      <c r="D33" s="52">
        <f>'Scenario 2 Assumptions'!$B$6*('Scenario 2 Assumptions'!$D$13)</f>
        <v>0</v>
      </c>
      <c r="E33" s="52">
        <f>'Scenario 2 Assumptions'!$B$6*('Scenario 2 Assumptions'!$D$13)</f>
        <v>0</v>
      </c>
      <c r="F33" s="52">
        <f>'Scenario 2 Assumptions'!$B$6*('Scenario 2 Assumptions'!$D$13)</f>
        <v>0</v>
      </c>
      <c r="G33" s="52">
        <f>'Scenario 2 Assumptions'!$B$6*('Scenario 2 Assumptions'!$D$13)</f>
        <v>0</v>
      </c>
      <c r="H33" s="52">
        <f>'Scenario 2 Assumptions'!$B$6*('Scenario 2 Assumptions'!$D$13)</f>
        <v>0</v>
      </c>
      <c r="I33" s="52">
        <f>'Scenario 2 Assumptions'!$B$6*('Scenario 2 Assumptions'!$D$13)</f>
        <v>0</v>
      </c>
      <c r="J33" s="52">
        <f>'Scenario 2 Assumptions'!$B$6*('Scenario 2 Assumptions'!$D$13)</f>
        <v>0</v>
      </c>
      <c r="K33" s="52">
        <f>'Scenario 2 Assumptions'!$B$6*('Scenario 2 Assumptions'!$D$13)</f>
        <v>0</v>
      </c>
      <c r="L33" s="52">
        <f>'Scenario 2 Assumptions'!$B$6*('Scenario 2 Assumptions'!$D$13)</f>
        <v>0</v>
      </c>
      <c r="M33" s="52">
        <f>'Scenario 2 Assumptions'!$B$6*('Scenario 2 Assumptions'!$D$13)</f>
        <v>0</v>
      </c>
      <c r="N33" s="52">
        <f>'Scenario 2 Assumptions'!$B$6*('Scenario 2 Assumptions'!$D$13)</f>
        <v>0</v>
      </c>
      <c r="O33" s="52">
        <f>'Scenario 2 Assumptions'!$B$6*('Scenario 2 Assumptions'!$D$13)</f>
        <v>0</v>
      </c>
      <c r="P33" s="52">
        <f>'Scenario 2 Assumptions'!$B$6*('Scenario 2 Assumptions'!$D$13)</f>
        <v>0</v>
      </c>
      <c r="Q33" s="52">
        <f>'Scenario 2 Assumptions'!$B$6*('Scenario 2 Assumptions'!$D$13)</f>
        <v>0</v>
      </c>
      <c r="R33" s="52">
        <f>'Scenario 2 Assumptions'!$B$6*('Scenario 2 Assumptions'!$D$13)</f>
        <v>0</v>
      </c>
      <c r="S33" s="52">
        <f>'Scenario 2 Assumptions'!$B$6*('Scenario 2 Assumptions'!$D$13)</f>
        <v>0</v>
      </c>
      <c r="T33" s="52">
        <f>'Scenario 2 Assumptions'!$B$6*('Scenario 2 Assumptions'!$D$13)</f>
        <v>0</v>
      </c>
      <c r="U33" s="52">
        <f>'Scenario 2 Assumptions'!$B$6*('Scenario 2 Assumptions'!$D$13)</f>
        <v>0</v>
      </c>
      <c r="V33" s="180">
        <f t="shared" si="4"/>
        <v>0</v>
      </c>
      <c r="W33" s="133">
        <f t="shared" si="5"/>
        <v>0</v>
      </c>
    </row>
    <row r="34" spans="1:23" s="99" customFormat="1" ht="13.5" customHeight="1">
      <c r="A34" s="28" t="s">
        <v>1177</v>
      </c>
      <c r="B34" s="52">
        <f>'Scenario 2 Assumptions'!$B$6*('Scenario 2 Assumptions'!$D$14 +'Scenario 2 Assumptions'!$D$15)</f>
        <v>0</v>
      </c>
      <c r="C34" s="52">
        <f>'Scenario 2 Assumptions'!$B$6*('Scenario 2 Assumptions'!$D$14 +'Scenario 2 Assumptions'!$D$15)</f>
        <v>0</v>
      </c>
      <c r="D34" s="52">
        <f>'Scenario 2 Assumptions'!$B$6*('Scenario 2 Assumptions'!$D$14 +'Scenario 2 Assumptions'!$D$15)</f>
        <v>0</v>
      </c>
      <c r="E34" s="52">
        <f>'Scenario 2 Assumptions'!$B$6*('Scenario 2 Assumptions'!$D$14 +'Scenario 2 Assumptions'!$D$15)</f>
        <v>0</v>
      </c>
      <c r="F34" s="52">
        <f>'Scenario 2 Assumptions'!$B$6*('Scenario 2 Assumptions'!$D$14 +'Scenario 2 Assumptions'!$D$15)</f>
        <v>0</v>
      </c>
      <c r="G34" s="52">
        <f>'Scenario 2 Assumptions'!$B$6*('Scenario 2 Assumptions'!$D$14 +'Scenario 2 Assumptions'!$D$15)</f>
        <v>0</v>
      </c>
      <c r="H34" s="52">
        <f>'Scenario 2 Assumptions'!$B$6*('Scenario 2 Assumptions'!$D$14 +'Scenario 2 Assumptions'!$D$15)</f>
        <v>0</v>
      </c>
      <c r="I34" s="52">
        <f>'Scenario 2 Assumptions'!$B$6*('Scenario 2 Assumptions'!$D$14 +'Scenario 2 Assumptions'!$D$15)</f>
        <v>0</v>
      </c>
      <c r="J34" s="52">
        <f>'Scenario 2 Assumptions'!$B$6*('Scenario 2 Assumptions'!$D$14 +'Scenario 2 Assumptions'!$D$15)</f>
        <v>0</v>
      </c>
      <c r="K34" s="52">
        <f>'Scenario 2 Assumptions'!$B$6*('Scenario 2 Assumptions'!$D$14 +'Scenario 2 Assumptions'!$D$15)</f>
        <v>0</v>
      </c>
      <c r="L34" s="52">
        <f>'Scenario 2 Assumptions'!$B$6*('Scenario 2 Assumptions'!$D$14 +'Scenario 2 Assumptions'!$D$15)</f>
        <v>0</v>
      </c>
      <c r="M34" s="52">
        <f>'Scenario 2 Assumptions'!$B$6*('Scenario 2 Assumptions'!$D$14 +'Scenario 2 Assumptions'!$D$15)</f>
        <v>0</v>
      </c>
      <c r="N34" s="52">
        <f>'Scenario 2 Assumptions'!$B$6*('Scenario 2 Assumptions'!$D$14 +'Scenario 2 Assumptions'!$D$15)</f>
        <v>0</v>
      </c>
      <c r="O34" s="52">
        <f>'Scenario 2 Assumptions'!$B$6*('Scenario 2 Assumptions'!$D$14 +'Scenario 2 Assumptions'!$D$15)</f>
        <v>0</v>
      </c>
      <c r="P34" s="52">
        <f>'Scenario 2 Assumptions'!$B$6*('Scenario 2 Assumptions'!$D$14 +'Scenario 2 Assumptions'!$D$15)</f>
        <v>0</v>
      </c>
      <c r="Q34" s="52">
        <f>'Scenario 2 Assumptions'!$B$6*('Scenario 2 Assumptions'!$D$14 +'Scenario 2 Assumptions'!$D$15)</f>
        <v>0</v>
      </c>
      <c r="R34" s="52">
        <f>'Scenario 2 Assumptions'!$B$6*('Scenario 2 Assumptions'!$D$14 +'Scenario 2 Assumptions'!$D$15)</f>
        <v>0</v>
      </c>
      <c r="S34" s="52">
        <f>'Scenario 2 Assumptions'!$B$6*('Scenario 2 Assumptions'!$D$14 +'Scenario 2 Assumptions'!$D$15)</f>
        <v>0</v>
      </c>
      <c r="T34" s="52">
        <f>'Scenario 2 Assumptions'!$B$6*('Scenario 2 Assumptions'!$D$14 +'Scenario 2 Assumptions'!$D$15)</f>
        <v>0</v>
      </c>
      <c r="U34" s="52">
        <f>'Scenario 2 Assumptions'!$B$6*('Scenario 2 Assumptions'!$D$14 +'Scenario 2 Assumptions'!$D$15)</f>
        <v>0</v>
      </c>
      <c r="V34" s="180">
        <f t="shared" si="4"/>
        <v>0</v>
      </c>
      <c r="W34" s="133">
        <f t="shared" si="5"/>
        <v>0</v>
      </c>
    </row>
    <row r="35" spans="1:23" s="99" customFormat="1" ht="13.5" customHeight="1">
      <c r="A35" s="28" t="s">
        <v>1178</v>
      </c>
      <c r="B35" s="52">
        <f>'Scenario 2 Assumptions'!$B$6*('Scenario 2 Assumptions'!$D$16)</f>
        <v>0</v>
      </c>
      <c r="C35" s="52">
        <f>'Scenario 2 Assumptions'!$B$6*('Scenario 2 Assumptions'!$D$16)</f>
        <v>0</v>
      </c>
      <c r="D35" s="52">
        <f>'Scenario 2 Assumptions'!$B$6*('Scenario 2 Assumptions'!$D$16)</f>
        <v>0</v>
      </c>
      <c r="E35" s="52">
        <f>'Scenario 2 Assumptions'!$B$6*('Scenario 2 Assumptions'!$D$16)</f>
        <v>0</v>
      </c>
      <c r="F35" s="52">
        <f>'Scenario 2 Assumptions'!$B$6*('Scenario 2 Assumptions'!$D$16)</f>
        <v>0</v>
      </c>
      <c r="G35" s="52">
        <f>'Scenario 2 Assumptions'!$B$6*('Scenario 2 Assumptions'!$D$16)</f>
        <v>0</v>
      </c>
      <c r="H35" s="52">
        <f>'Scenario 2 Assumptions'!$B$6*('Scenario 2 Assumptions'!$D$16)</f>
        <v>0</v>
      </c>
      <c r="I35" s="52">
        <f>'Scenario 2 Assumptions'!$B$6*('Scenario 2 Assumptions'!$D$16)</f>
        <v>0</v>
      </c>
      <c r="J35" s="52">
        <f>'Scenario 2 Assumptions'!$B$6*('Scenario 2 Assumptions'!$D$16)</f>
        <v>0</v>
      </c>
      <c r="K35" s="52">
        <f>'Scenario 2 Assumptions'!$B$6*('Scenario 2 Assumptions'!$D$16)</f>
        <v>0</v>
      </c>
      <c r="L35" s="52">
        <f>'Scenario 2 Assumptions'!$B$6*('Scenario 2 Assumptions'!$D$16)</f>
        <v>0</v>
      </c>
      <c r="M35" s="52">
        <f>'Scenario 2 Assumptions'!$B$6*('Scenario 2 Assumptions'!$D$16)</f>
        <v>0</v>
      </c>
      <c r="N35" s="52">
        <f>'Scenario 2 Assumptions'!$B$6*('Scenario 2 Assumptions'!$D$16)</f>
        <v>0</v>
      </c>
      <c r="O35" s="52">
        <f>'Scenario 2 Assumptions'!$B$6*('Scenario 2 Assumptions'!$D$16)</f>
        <v>0</v>
      </c>
      <c r="P35" s="52">
        <f>'Scenario 2 Assumptions'!$B$6*('Scenario 2 Assumptions'!$D$16)</f>
        <v>0</v>
      </c>
      <c r="Q35" s="52">
        <f>'Scenario 2 Assumptions'!$B$6*('Scenario 2 Assumptions'!$D$16)</f>
        <v>0</v>
      </c>
      <c r="R35" s="52">
        <f>'Scenario 2 Assumptions'!$B$6*('Scenario 2 Assumptions'!$D$16)</f>
        <v>0</v>
      </c>
      <c r="S35" s="52">
        <f>'Scenario 2 Assumptions'!$B$6*('Scenario 2 Assumptions'!$D$16)</f>
        <v>0</v>
      </c>
      <c r="T35" s="52">
        <f>'Scenario 2 Assumptions'!$B$6*('Scenario 2 Assumptions'!$D$16)</f>
        <v>0</v>
      </c>
      <c r="U35" s="52">
        <f>'Scenario 2 Assumptions'!$B$6*('Scenario 2 Assumptions'!$D$16)</f>
        <v>0</v>
      </c>
      <c r="V35" s="180">
        <f t="shared" si="4"/>
        <v>0</v>
      </c>
      <c r="W35" s="133">
        <f t="shared" si="5"/>
        <v>0</v>
      </c>
    </row>
    <row r="36" spans="1:23" s="99" customFormat="1" ht="13.5" customHeight="1">
      <c r="A36" s="28" t="s">
        <v>1179</v>
      </c>
      <c r="B36" s="52">
        <f>'Scenario 2 Assumptions'!$B$6*('Scenario 2 Assumptions'!$D$17)</f>
        <v>0</v>
      </c>
      <c r="C36" s="52">
        <f>'Scenario 2 Assumptions'!$B$6*('Scenario 2 Assumptions'!$D$17)</f>
        <v>0</v>
      </c>
      <c r="D36" s="52">
        <f>'Scenario 2 Assumptions'!$B$6*('Scenario 2 Assumptions'!$D$17)</f>
        <v>0</v>
      </c>
      <c r="E36" s="52">
        <f>'Scenario 2 Assumptions'!$B$6*('Scenario 2 Assumptions'!$D$17)</f>
        <v>0</v>
      </c>
      <c r="F36" s="52">
        <f>'Scenario 2 Assumptions'!$B$6*('Scenario 2 Assumptions'!$D$17)</f>
        <v>0</v>
      </c>
      <c r="G36" s="52">
        <f>'Scenario 2 Assumptions'!$B$6*('Scenario 2 Assumptions'!$D$17)</f>
        <v>0</v>
      </c>
      <c r="H36" s="52">
        <f>'Scenario 2 Assumptions'!$B$6*('Scenario 2 Assumptions'!$D$17)</f>
        <v>0</v>
      </c>
      <c r="I36" s="52">
        <f>'Scenario 2 Assumptions'!$B$6*('Scenario 2 Assumptions'!$D$17)</f>
        <v>0</v>
      </c>
      <c r="J36" s="52">
        <f>'Scenario 2 Assumptions'!$B$6*('Scenario 2 Assumptions'!$D$17)</f>
        <v>0</v>
      </c>
      <c r="K36" s="52">
        <f>'Scenario 2 Assumptions'!$B$6*('Scenario 2 Assumptions'!$D$17)</f>
        <v>0</v>
      </c>
      <c r="L36" s="52">
        <f>'Scenario 2 Assumptions'!$B$6*('Scenario 2 Assumptions'!$D$17)</f>
        <v>0</v>
      </c>
      <c r="M36" s="52">
        <f>'Scenario 2 Assumptions'!$B$6*('Scenario 2 Assumptions'!$D$17)</f>
        <v>0</v>
      </c>
      <c r="N36" s="52">
        <f>'Scenario 2 Assumptions'!$B$6*('Scenario 2 Assumptions'!$D$17)</f>
        <v>0</v>
      </c>
      <c r="O36" s="52">
        <f>'Scenario 2 Assumptions'!$B$6*('Scenario 2 Assumptions'!$D$17)</f>
        <v>0</v>
      </c>
      <c r="P36" s="52">
        <f>'Scenario 2 Assumptions'!$B$6*('Scenario 2 Assumptions'!$D$17)</f>
        <v>0</v>
      </c>
      <c r="Q36" s="52">
        <f>'Scenario 2 Assumptions'!$B$6*('Scenario 2 Assumptions'!$D$17)</f>
        <v>0</v>
      </c>
      <c r="R36" s="52">
        <f>'Scenario 2 Assumptions'!$B$6*('Scenario 2 Assumptions'!$D$17)</f>
        <v>0</v>
      </c>
      <c r="S36" s="52">
        <f>'Scenario 2 Assumptions'!$B$6*('Scenario 2 Assumptions'!$D$17)</f>
        <v>0</v>
      </c>
      <c r="T36" s="52">
        <f>'Scenario 2 Assumptions'!$B$6*('Scenario 2 Assumptions'!$D$17)</f>
        <v>0</v>
      </c>
      <c r="U36" s="52">
        <f>'Scenario 2 Assumptions'!$B$6*('Scenario 2 Assumptions'!$D$17)</f>
        <v>0</v>
      </c>
      <c r="V36" s="180">
        <f t="shared" si="4"/>
        <v>0</v>
      </c>
      <c r="W36" s="133">
        <f t="shared" si="5"/>
        <v>0</v>
      </c>
    </row>
    <row r="37" spans="1:23" s="99" customFormat="1" ht="13.5" customHeight="1">
      <c r="A37" s="28" t="s">
        <v>1180</v>
      </c>
      <c r="B37" s="52">
        <f>'Scenario 2 Assumptions'!$B$6*('Scenario 2 Assumptions'!$D$18)</f>
        <v>0</v>
      </c>
      <c r="C37" s="52">
        <f>'Scenario 2 Assumptions'!$B$6*('Scenario 2 Assumptions'!$D$18)</f>
        <v>0</v>
      </c>
      <c r="D37" s="52">
        <f>'Scenario 2 Assumptions'!$B$6*('Scenario 2 Assumptions'!$D$18)</f>
        <v>0</v>
      </c>
      <c r="E37" s="52">
        <f>'Scenario 2 Assumptions'!$B$6*('Scenario 2 Assumptions'!$D$18)</f>
        <v>0</v>
      </c>
      <c r="F37" s="52">
        <f>'Scenario 2 Assumptions'!$B$6*('Scenario 2 Assumptions'!$D$18)</f>
        <v>0</v>
      </c>
      <c r="G37" s="52">
        <f>'Scenario 2 Assumptions'!$B$6*('Scenario 2 Assumptions'!$D$18)</f>
        <v>0</v>
      </c>
      <c r="H37" s="52">
        <f>'Scenario 2 Assumptions'!$B$6*('Scenario 2 Assumptions'!$D$18)</f>
        <v>0</v>
      </c>
      <c r="I37" s="52">
        <f>'Scenario 2 Assumptions'!$B$6*('Scenario 2 Assumptions'!$D$18)</f>
        <v>0</v>
      </c>
      <c r="J37" s="52">
        <f>'Scenario 2 Assumptions'!$B$6*('Scenario 2 Assumptions'!$D$18)</f>
        <v>0</v>
      </c>
      <c r="K37" s="52">
        <f>'Scenario 2 Assumptions'!$B$6*('Scenario 2 Assumptions'!$D$18)</f>
        <v>0</v>
      </c>
      <c r="L37" s="52">
        <f>'Scenario 2 Assumptions'!$B$6*('Scenario 2 Assumptions'!$D$18)</f>
        <v>0</v>
      </c>
      <c r="M37" s="52">
        <f>'Scenario 2 Assumptions'!$B$6*('Scenario 2 Assumptions'!$D$18)</f>
        <v>0</v>
      </c>
      <c r="N37" s="52">
        <f>'Scenario 2 Assumptions'!$B$6*('Scenario 2 Assumptions'!$D$18)</f>
        <v>0</v>
      </c>
      <c r="O37" s="52">
        <f>'Scenario 2 Assumptions'!$B$6*('Scenario 2 Assumptions'!$D$18)</f>
        <v>0</v>
      </c>
      <c r="P37" s="52">
        <f>'Scenario 2 Assumptions'!$B$6*('Scenario 2 Assumptions'!$D$18)</f>
        <v>0</v>
      </c>
      <c r="Q37" s="52">
        <f>'Scenario 2 Assumptions'!$B$6*('Scenario 2 Assumptions'!$D$18)</f>
        <v>0</v>
      </c>
      <c r="R37" s="52">
        <f>'Scenario 2 Assumptions'!$B$6*('Scenario 2 Assumptions'!$D$18)</f>
        <v>0</v>
      </c>
      <c r="S37" s="52">
        <f>'Scenario 2 Assumptions'!$B$6*('Scenario 2 Assumptions'!$D$18)</f>
        <v>0</v>
      </c>
      <c r="T37" s="52">
        <f>'Scenario 2 Assumptions'!$B$6*('Scenario 2 Assumptions'!$D$18)</f>
        <v>0</v>
      </c>
      <c r="U37" s="52">
        <f>'Scenario 2 Assumptions'!$B$6*('Scenario 2 Assumptions'!$D$18)</f>
        <v>0</v>
      </c>
      <c r="V37" s="180">
        <f t="shared" si="4"/>
        <v>0</v>
      </c>
      <c r="W37" s="133">
        <f t="shared" si="5"/>
        <v>0</v>
      </c>
    </row>
    <row r="38" spans="1:23" s="99" customFormat="1" ht="13.5" customHeight="1">
      <c r="A38" s="28" t="s">
        <v>1181</v>
      </c>
      <c r="B38" s="52">
        <f>'Scenario 2 Assumptions'!$B$6*('Scenario 2 Assumptions'!$D$22+'Scenario 2 Assumptions'!$D$23+'Scenario 2 Assumptions'!$D$24+'Scenario 2 Assumptions'!$D$25)</f>
        <v>3.3075E-2</v>
      </c>
      <c r="C38" s="52">
        <f>'Scenario 2 Assumptions'!$B$6*('Scenario 2 Assumptions'!$D$22+'Scenario 2 Assumptions'!$D$23+'Scenario 2 Assumptions'!$D$24+'Scenario 2 Assumptions'!$D$25)</f>
        <v>3.3075E-2</v>
      </c>
      <c r="D38" s="52">
        <f>'Scenario 2 Assumptions'!$B$6*('Scenario 2 Assumptions'!$D$22+'Scenario 2 Assumptions'!$D$23+'Scenario 2 Assumptions'!$D$24+'Scenario 2 Assumptions'!$D$25)</f>
        <v>3.3075E-2</v>
      </c>
      <c r="E38" s="52">
        <f>'Scenario 2 Assumptions'!$B$6*('Scenario 2 Assumptions'!$D$22+'Scenario 2 Assumptions'!$D$23+'Scenario 2 Assumptions'!$D$24+'Scenario 2 Assumptions'!$D$25)</f>
        <v>3.3075E-2</v>
      </c>
      <c r="F38" s="52">
        <f>'Scenario 2 Assumptions'!$B$6*('Scenario 2 Assumptions'!$D$22+'Scenario 2 Assumptions'!$D$23+'Scenario 2 Assumptions'!$D$24+'Scenario 2 Assumptions'!$D$25)</f>
        <v>3.3075E-2</v>
      </c>
      <c r="G38" s="52">
        <f>'Scenario 2 Assumptions'!$B$6*('Scenario 2 Assumptions'!$D$22+'Scenario 2 Assumptions'!$D$23+'Scenario 2 Assumptions'!$D$24+'Scenario 2 Assumptions'!$D$25)</f>
        <v>3.3075E-2</v>
      </c>
      <c r="H38" s="52">
        <f>'Scenario 2 Assumptions'!$B$6*('Scenario 2 Assumptions'!$D$22+'Scenario 2 Assumptions'!$D$23+'Scenario 2 Assumptions'!$D$24+'Scenario 2 Assumptions'!$D$25)</f>
        <v>3.3075E-2</v>
      </c>
      <c r="I38" s="52">
        <f>'Scenario 2 Assumptions'!$B$6*('Scenario 2 Assumptions'!$D$22+'Scenario 2 Assumptions'!$D$23+'Scenario 2 Assumptions'!$D$24+'Scenario 2 Assumptions'!$D$25)</f>
        <v>3.3075E-2</v>
      </c>
      <c r="J38" s="52">
        <f>'Scenario 2 Assumptions'!$B$6*('Scenario 2 Assumptions'!$D$22+'Scenario 2 Assumptions'!$D$23+'Scenario 2 Assumptions'!$D$24+'Scenario 2 Assumptions'!$D$25)</f>
        <v>3.3075E-2</v>
      </c>
      <c r="K38" s="52">
        <f>'Scenario 2 Assumptions'!$B$6*('Scenario 2 Assumptions'!$D$22+'Scenario 2 Assumptions'!$D$23+'Scenario 2 Assumptions'!$D$24+'Scenario 2 Assumptions'!$D$25)</f>
        <v>3.3075E-2</v>
      </c>
      <c r="L38" s="52">
        <f>'Scenario 2 Assumptions'!$B$6*('Scenario 2 Assumptions'!$D$22+'Scenario 2 Assumptions'!$D$23+'Scenario 2 Assumptions'!$D$24+'Scenario 2 Assumptions'!$D$25)</f>
        <v>3.3075E-2</v>
      </c>
      <c r="M38" s="52">
        <f>'Scenario 2 Assumptions'!$B$6*('Scenario 2 Assumptions'!$D$22+'Scenario 2 Assumptions'!$D$23+'Scenario 2 Assumptions'!$D$24+'Scenario 2 Assumptions'!$D$25)</f>
        <v>3.3075E-2</v>
      </c>
      <c r="N38" s="52">
        <f>'Scenario 2 Assumptions'!$B$6*('Scenario 2 Assumptions'!$D$22+'Scenario 2 Assumptions'!$D$23+'Scenario 2 Assumptions'!$D$24+'Scenario 2 Assumptions'!$D$25)</f>
        <v>3.3075E-2</v>
      </c>
      <c r="O38" s="52">
        <f>'Scenario 2 Assumptions'!$B$6*('Scenario 2 Assumptions'!$D$22+'Scenario 2 Assumptions'!$D$23+'Scenario 2 Assumptions'!$D$24+'Scenario 2 Assumptions'!$D$25)</f>
        <v>3.3075E-2</v>
      </c>
      <c r="P38" s="52">
        <f>'Scenario 2 Assumptions'!$B$6*('Scenario 2 Assumptions'!$D$22+'Scenario 2 Assumptions'!$D$23+'Scenario 2 Assumptions'!$D$24+'Scenario 2 Assumptions'!$D$25)</f>
        <v>3.3075E-2</v>
      </c>
      <c r="Q38" s="52">
        <f>'Scenario 2 Assumptions'!$B$6*('Scenario 2 Assumptions'!$D$22+'Scenario 2 Assumptions'!$D$23+'Scenario 2 Assumptions'!$D$24+'Scenario 2 Assumptions'!$D$25)</f>
        <v>3.3075E-2</v>
      </c>
      <c r="R38" s="52">
        <f>'Scenario 2 Assumptions'!$B$6*('Scenario 2 Assumptions'!$D$22+'Scenario 2 Assumptions'!$D$23+'Scenario 2 Assumptions'!$D$24+'Scenario 2 Assumptions'!$D$25)</f>
        <v>3.3075E-2</v>
      </c>
      <c r="S38" s="52">
        <f>'Scenario 2 Assumptions'!$B$6*('Scenario 2 Assumptions'!$D$22+'Scenario 2 Assumptions'!$D$23+'Scenario 2 Assumptions'!$D$24+'Scenario 2 Assumptions'!$D$25)</f>
        <v>3.3075E-2</v>
      </c>
      <c r="T38" s="52">
        <f>'Scenario 2 Assumptions'!$B$6*('Scenario 2 Assumptions'!$D$22+'Scenario 2 Assumptions'!$D$23+'Scenario 2 Assumptions'!$D$24+'Scenario 2 Assumptions'!$D$25)</f>
        <v>3.3075E-2</v>
      </c>
      <c r="U38" s="52">
        <f>'Scenario 2 Assumptions'!$B$6*('Scenario 2 Assumptions'!$D$22+'Scenario 2 Assumptions'!$D$23+'Scenario 2 Assumptions'!$D$24+'Scenario 2 Assumptions'!$D$25)</f>
        <v>3.3075E-2</v>
      </c>
      <c r="V38" s="180">
        <f t="shared" si="4"/>
        <v>0.66149999999999998</v>
      </c>
      <c r="W38" s="133">
        <f t="shared" si="5"/>
        <v>3.3075E-2</v>
      </c>
    </row>
    <row r="39" spans="1:23" s="99" customFormat="1" ht="13.5" customHeight="1">
      <c r="A39" s="28" t="s">
        <v>1182</v>
      </c>
      <c r="B39" s="52">
        <f>'Scenario 2 Assumptions'!$B$6*('Scenario 2 Assumptions'!$D$26+'Scenario 2 Assumptions'!$D$27+'Scenario 2 Assumptions'!$D$28+'Scenario 2 Assumptions'!$D$29+'Scenario 2 Assumptions'!$D$30+'Scenario 2 Assumptions'!$D$31)</f>
        <v>6.7500000000000004E-4</v>
      </c>
      <c r="C39" s="52">
        <f>'Scenario 2 Assumptions'!$B$6*('Scenario 2 Assumptions'!$D$26+'Scenario 2 Assumptions'!$D$27+'Scenario 2 Assumptions'!$D$28+'Scenario 2 Assumptions'!$D$29+'Scenario 2 Assumptions'!$D$30+'Scenario 2 Assumptions'!$D$31)</f>
        <v>6.7500000000000004E-4</v>
      </c>
      <c r="D39" s="52">
        <f>'Scenario 2 Assumptions'!$B$6*('Scenario 2 Assumptions'!$D$26+'Scenario 2 Assumptions'!$D$27+'Scenario 2 Assumptions'!$D$28+'Scenario 2 Assumptions'!$D$29+'Scenario 2 Assumptions'!$D$30+'Scenario 2 Assumptions'!$D$31)</f>
        <v>6.7500000000000004E-4</v>
      </c>
      <c r="E39" s="52">
        <f>'Scenario 2 Assumptions'!$B$6*('Scenario 2 Assumptions'!$D$26+'Scenario 2 Assumptions'!$D$27+'Scenario 2 Assumptions'!$D$28+'Scenario 2 Assumptions'!$D$29+'Scenario 2 Assumptions'!$D$30+'Scenario 2 Assumptions'!$D$31)</f>
        <v>6.7500000000000004E-4</v>
      </c>
      <c r="F39" s="52">
        <f>'Scenario 2 Assumptions'!$B$6*('Scenario 2 Assumptions'!$D$26+'Scenario 2 Assumptions'!$D$27+'Scenario 2 Assumptions'!$D$28+'Scenario 2 Assumptions'!$D$29+'Scenario 2 Assumptions'!$D$30+'Scenario 2 Assumptions'!$D$31)</f>
        <v>6.7500000000000004E-4</v>
      </c>
      <c r="G39" s="52">
        <f>'Scenario 2 Assumptions'!$B$6*('Scenario 2 Assumptions'!$D$26+'Scenario 2 Assumptions'!$D$27+'Scenario 2 Assumptions'!$D$28+'Scenario 2 Assumptions'!$D$29+'Scenario 2 Assumptions'!$D$30+'Scenario 2 Assumptions'!$D$31)</f>
        <v>6.7500000000000004E-4</v>
      </c>
      <c r="H39" s="52">
        <f>'Scenario 2 Assumptions'!$B$6*('Scenario 2 Assumptions'!$D$26+'Scenario 2 Assumptions'!$D$27+'Scenario 2 Assumptions'!$D$28+'Scenario 2 Assumptions'!$D$29+'Scenario 2 Assumptions'!$D$30+'Scenario 2 Assumptions'!$D$31)</f>
        <v>6.7500000000000004E-4</v>
      </c>
      <c r="I39" s="52">
        <f>'Scenario 2 Assumptions'!$B$6*('Scenario 2 Assumptions'!$D$26+'Scenario 2 Assumptions'!$D$27+'Scenario 2 Assumptions'!$D$28+'Scenario 2 Assumptions'!$D$29+'Scenario 2 Assumptions'!$D$30+'Scenario 2 Assumptions'!$D$31)</f>
        <v>6.7500000000000004E-4</v>
      </c>
      <c r="J39" s="52">
        <f>'Scenario 2 Assumptions'!$B$6*('Scenario 2 Assumptions'!$D$26+'Scenario 2 Assumptions'!$D$27+'Scenario 2 Assumptions'!$D$28+'Scenario 2 Assumptions'!$D$29+'Scenario 2 Assumptions'!$D$30+'Scenario 2 Assumptions'!$D$31)</f>
        <v>6.7500000000000004E-4</v>
      </c>
      <c r="K39" s="52">
        <f>'Scenario 2 Assumptions'!$B$6*('Scenario 2 Assumptions'!$D$26+'Scenario 2 Assumptions'!$D$27+'Scenario 2 Assumptions'!$D$28+'Scenario 2 Assumptions'!$D$29+'Scenario 2 Assumptions'!$D$30+'Scenario 2 Assumptions'!$D$31)</f>
        <v>6.7500000000000004E-4</v>
      </c>
      <c r="L39" s="52">
        <f>'Scenario 2 Assumptions'!$B$6*('Scenario 2 Assumptions'!$D$26+'Scenario 2 Assumptions'!$D$27+'Scenario 2 Assumptions'!$D$28+'Scenario 2 Assumptions'!$D$29+'Scenario 2 Assumptions'!$D$30+'Scenario 2 Assumptions'!$D$31)</f>
        <v>6.7500000000000004E-4</v>
      </c>
      <c r="M39" s="52">
        <f>'Scenario 2 Assumptions'!$B$6*('Scenario 2 Assumptions'!$D$26+'Scenario 2 Assumptions'!$D$27+'Scenario 2 Assumptions'!$D$28+'Scenario 2 Assumptions'!$D$29+'Scenario 2 Assumptions'!$D$30+'Scenario 2 Assumptions'!$D$31)</f>
        <v>6.7500000000000004E-4</v>
      </c>
      <c r="N39" s="52">
        <f>'Scenario 2 Assumptions'!$B$6*('Scenario 2 Assumptions'!$D$26+'Scenario 2 Assumptions'!$D$27+'Scenario 2 Assumptions'!$D$28+'Scenario 2 Assumptions'!$D$29+'Scenario 2 Assumptions'!$D$30+'Scenario 2 Assumptions'!$D$31)</f>
        <v>6.7500000000000004E-4</v>
      </c>
      <c r="O39" s="52">
        <f>'Scenario 2 Assumptions'!$B$6*('Scenario 2 Assumptions'!$D$26+'Scenario 2 Assumptions'!$D$27+'Scenario 2 Assumptions'!$D$28+'Scenario 2 Assumptions'!$D$29+'Scenario 2 Assumptions'!$D$30+'Scenario 2 Assumptions'!$D$31)</f>
        <v>6.7500000000000004E-4</v>
      </c>
      <c r="P39" s="52">
        <f>'Scenario 2 Assumptions'!$B$6*('Scenario 2 Assumptions'!$D$26+'Scenario 2 Assumptions'!$D$27+'Scenario 2 Assumptions'!$D$28+'Scenario 2 Assumptions'!$D$29+'Scenario 2 Assumptions'!$D$30+'Scenario 2 Assumptions'!$D$31)</f>
        <v>6.7500000000000004E-4</v>
      </c>
      <c r="Q39" s="52">
        <f>'Scenario 2 Assumptions'!$B$6*('Scenario 2 Assumptions'!$D$26+'Scenario 2 Assumptions'!$D$27+'Scenario 2 Assumptions'!$D$28+'Scenario 2 Assumptions'!$D$29+'Scenario 2 Assumptions'!$D$30+'Scenario 2 Assumptions'!$D$31)</f>
        <v>6.7500000000000004E-4</v>
      </c>
      <c r="R39" s="52">
        <f>'Scenario 2 Assumptions'!$B$6*('Scenario 2 Assumptions'!$D$26+'Scenario 2 Assumptions'!$D$27+'Scenario 2 Assumptions'!$D$28+'Scenario 2 Assumptions'!$D$29+'Scenario 2 Assumptions'!$D$30+'Scenario 2 Assumptions'!$D$31)</f>
        <v>6.7500000000000004E-4</v>
      </c>
      <c r="S39" s="52">
        <f>'Scenario 2 Assumptions'!$B$6*('Scenario 2 Assumptions'!$D$26+'Scenario 2 Assumptions'!$D$27+'Scenario 2 Assumptions'!$D$28+'Scenario 2 Assumptions'!$D$29+'Scenario 2 Assumptions'!$D$30+'Scenario 2 Assumptions'!$D$31)</f>
        <v>6.7500000000000004E-4</v>
      </c>
      <c r="T39" s="52">
        <f>'Scenario 2 Assumptions'!$B$6*('Scenario 2 Assumptions'!$D$26+'Scenario 2 Assumptions'!$D$27+'Scenario 2 Assumptions'!$D$28+'Scenario 2 Assumptions'!$D$29+'Scenario 2 Assumptions'!$D$30+'Scenario 2 Assumptions'!$D$31)</f>
        <v>6.7500000000000004E-4</v>
      </c>
      <c r="U39" s="52">
        <f>'Scenario 2 Assumptions'!$B$6*('Scenario 2 Assumptions'!$D$26+'Scenario 2 Assumptions'!$D$27+'Scenario 2 Assumptions'!$D$28+'Scenario 2 Assumptions'!$D$29+'Scenario 2 Assumptions'!$D$30+'Scenario 2 Assumptions'!$D$31)</f>
        <v>6.7500000000000004E-4</v>
      </c>
      <c r="V39" s="180">
        <f t="shared" si="4"/>
        <v>1.3500000000000003E-2</v>
      </c>
      <c r="W39" s="133">
        <f t="shared" si="5"/>
        <v>6.7500000000000014E-4</v>
      </c>
    </row>
    <row r="40" spans="1:23" s="99" customFormat="1" ht="13.5" customHeight="1">
      <c r="A40" s="28" t="s">
        <v>1183</v>
      </c>
      <c r="B40" s="52">
        <f>'Scenario 2 Assumptions'!$B$6*('Scenario 2 Assumptions'!$D$32)</f>
        <v>0</v>
      </c>
      <c r="C40" s="52">
        <f>'Scenario 2 Assumptions'!$B$6*('Scenario 2 Assumptions'!$D$32)</f>
        <v>0</v>
      </c>
      <c r="D40" s="52">
        <f>'Scenario 2 Assumptions'!$B$6*('Scenario 2 Assumptions'!$D$32)</f>
        <v>0</v>
      </c>
      <c r="E40" s="52">
        <f>'Scenario 2 Assumptions'!$B$6*('Scenario 2 Assumptions'!$D$32)</f>
        <v>0</v>
      </c>
      <c r="F40" s="52">
        <f>'Scenario 2 Assumptions'!$B$6*('Scenario 2 Assumptions'!$D$32)</f>
        <v>0</v>
      </c>
      <c r="G40" s="52">
        <f>'Scenario 2 Assumptions'!$B$6*('Scenario 2 Assumptions'!$D$32)</f>
        <v>0</v>
      </c>
      <c r="H40" s="52">
        <f>'Scenario 2 Assumptions'!$B$6*('Scenario 2 Assumptions'!$D$32)</f>
        <v>0</v>
      </c>
      <c r="I40" s="52">
        <f>'Scenario 2 Assumptions'!$B$6*('Scenario 2 Assumptions'!$D$32)</f>
        <v>0</v>
      </c>
      <c r="J40" s="52">
        <f>'Scenario 2 Assumptions'!$B$6*('Scenario 2 Assumptions'!$D$32)</f>
        <v>0</v>
      </c>
      <c r="K40" s="52">
        <f>'Scenario 2 Assumptions'!$B$6*('Scenario 2 Assumptions'!$D$32)</f>
        <v>0</v>
      </c>
      <c r="L40" s="52">
        <f>'Scenario 2 Assumptions'!$B$6*('Scenario 2 Assumptions'!$D$32)</f>
        <v>0</v>
      </c>
      <c r="M40" s="52">
        <f>'Scenario 2 Assumptions'!$B$6*('Scenario 2 Assumptions'!$D$32)</f>
        <v>0</v>
      </c>
      <c r="N40" s="52">
        <f>'Scenario 2 Assumptions'!$B$6*('Scenario 2 Assumptions'!$D$32)</f>
        <v>0</v>
      </c>
      <c r="O40" s="52">
        <f>'Scenario 2 Assumptions'!$B$6*('Scenario 2 Assumptions'!$D$32)</f>
        <v>0</v>
      </c>
      <c r="P40" s="52">
        <f>'Scenario 2 Assumptions'!$B$6*('Scenario 2 Assumptions'!$D$32)</f>
        <v>0</v>
      </c>
      <c r="Q40" s="52">
        <f>'Scenario 2 Assumptions'!$B$6*('Scenario 2 Assumptions'!$D$32)</f>
        <v>0</v>
      </c>
      <c r="R40" s="52">
        <f>'Scenario 2 Assumptions'!$B$6*('Scenario 2 Assumptions'!$D$32)</f>
        <v>0</v>
      </c>
      <c r="S40" s="52">
        <f>'Scenario 2 Assumptions'!$B$6*('Scenario 2 Assumptions'!$D$32)</f>
        <v>0</v>
      </c>
      <c r="T40" s="52">
        <f>'Scenario 2 Assumptions'!$B$6*('Scenario 2 Assumptions'!$D$32)</f>
        <v>0</v>
      </c>
      <c r="U40" s="52">
        <f>'Scenario 2 Assumptions'!$B$6*('Scenario 2 Assumptions'!$D$32)</f>
        <v>0</v>
      </c>
      <c r="V40" s="180">
        <f t="shared" si="4"/>
        <v>0</v>
      </c>
      <c r="W40" s="133">
        <f t="shared" si="5"/>
        <v>0</v>
      </c>
    </row>
    <row r="41" spans="1:23" s="99" customFormat="1" ht="13.5" customHeight="1">
      <c r="A41" s="28" t="s">
        <v>1184</v>
      </c>
      <c r="B41" s="52">
        <f>'Scenario 2 Assumptions'!$B$6*('Scenario 2 Assumptions'!$D$33+'Scenario 2 Assumptions'!$D$34+'Scenario 2 Assumptions'!$D$35)</f>
        <v>3.3075E-2</v>
      </c>
      <c r="C41" s="52">
        <f>'Scenario 2 Assumptions'!$B$6*('Scenario 2 Assumptions'!$D$33+'Scenario 2 Assumptions'!$D$34+'Scenario 2 Assumptions'!$D$35)</f>
        <v>3.3075E-2</v>
      </c>
      <c r="D41" s="52">
        <f>'Scenario 2 Assumptions'!$B$6*('Scenario 2 Assumptions'!$D$33+'Scenario 2 Assumptions'!$D$34+'Scenario 2 Assumptions'!$D$35)</f>
        <v>3.3075E-2</v>
      </c>
      <c r="E41" s="52">
        <f>'Scenario 2 Assumptions'!$B$6*('Scenario 2 Assumptions'!$D$33+'Scenario 2 Assumptions'!$D$34+'Scenario 2 Assumptions'!$D$35)</f>
        <v>3.3075E-2</v>
      </c>
      <c r="F41" s="52">
        <f>'Scenario 2 Assumptions'!$B$6*('Scenario 2 Assumptions'!$D$33+'Scenario 2 Assumptions'!$D$34+'Scenario 2 Assumptions'!$D$35)</f>
        <v>3.3075E-2</v>
      </c>
      <c r="G41" s="52">
        <f>'Scenario 2 Assumptions'!$B$6*('Scenario 2 Assumptions'!$D$33+'Scenario 2 Assumptions'!$D$34+'Scenario 2 Assumptions'!$D$35)</f>
        <v>3.3075E-2</v>
      </c>
      <c r="H41" s="52">
        <f>'Scenario 2 Assumptions'!$B$6*('Scenario 2 Assumptions'!$D$33+'Scenario 2 Assumptions'!$D$34+'Scenario 2 Assumptions'!$D$35)</f>
        <v>3.3075E-2</v>
      </c>
      <c r="I41" s="52">
        <f>'Scenario 2 Assumptions'!$B$6*('Scenario 2 Assumptions'!$D$33+'Scenario 2 Assumptions'!$D$34+'Scenario 2 Assumptions'!$D$35)</f>
        <v>3.3075E-2</v>
      </c>
      <c r="J41" s="52">
        <f>'Scenario 2 Assumptions'!$B$6*('Scenario 2 Assumptions'!$D$33+'Scenario 2 Assumptions'!$D$34+'Scenario 2 Assumptions'!$D$35)</f>
        <v>3.3075E-2</v>
      </c>
      <c r="K41" s="52">
        <f>'Scenario 2 Assumptions'!$B$6*('Scenario 2 Assumptions'!$D$33+'Scenario 2 Assumptions'!$D$34+'Scenario 2 Assumptions'!$D$35)</f>
        <v>3.3075E-2</v>
      </c>
      <c r="L41" s="52">
        <f>'Scenario 2 Assumptions'!$B$6*('Scenario 2 Assumptions'!$D$33+'Scenario 2 Assumptions'!$D$34+'Scenario 2 Assumptions'!$D$35)</f>
        <v>3.3075E-2</v>
      </c>
      <c r="M41" s="52">
        <f>'Scenario 2 Assumptions'!$B$6*('Scenario 2 Assumptions'!$D$33+'Scenario 2 Assumptions'!$D$34+'Scenario 2 Assumptions'!$D$35)</f>
        <v>3.3075E-2</v>
      </c>
      <c r="N41" s="52">
        <f>'Scenario 2 Assumptions'!$B$6*('Scenario 2 Assumptions'!$D$33+'Scenario 2 Assumptions'!$D$34+'Scenario 2 Assumptions'!$D$35)</f>
        <v>3.3075E-2</v>
      </c>
      <c r="O41" s="52">
        <f>'Scenario 2 Assumptions'!$B$6*('Scenario 2 Assumptions'!$D$33+'Scenario 2 Assumptions'!$D$34+'Scenario 2 Assumptions'!$D$35)</f>
        <v>3.3075E-2</v>
      </c>
      <c r="P41" s="52">
        <f>'Scenario 2 Assumptions'!$B$6*('Scenario 2 Assumptions'!$D$33+'Scenario 2 Assumptions'!$D$34+'Scenario 2 Assumptions'!$D$35)</f>
        <v>3.3075E-2</v>
      </c>
      <c r="Q41" s="52">
        <f>'Scenario 2 Assumptions'!$B$6*('Scenario 2 Assumptions'!$D$33+'Scenario 2 Assumptions'!$D$34+'Scenario 2 Assumptions'!$D$35)</f>
        <v>3.3075E-2</v>
      </c>
      <c r="R41" s="52">
        <f>'Scenario 2 Assumptions'!$B$6*('Scenario 2 Assumptions'!$D$33+'Scenario 2 Assumptions'!$D$34+'Scenario 2 Assumptions'!$D$35)</f>
        <v>3.3075E-2</v>
      </c>
      <c r="S41" s="52">
        <f>'Scenario 2 Assumptions'!$B$6*('Scenario 2 Assumptions'!$D$33+'Scenario 2 Assumptions'!$D$34+'Scenario 2 Assumptions'!$D$35)</f>
        <v>3.3075E-2</v>
      </c>
      <c r="T41" s="52">
        <f>'Scenario 2 Assumptions'!$B$6*('Scenario 2 Assumptions'!$D$33+'Scenario 2 Assumptions'!$D$34+'Scenario 2 Assumptions'!$D$35)</f>
        <v>3.3075E-2</v>
      </c>
      <c r="U41" s="52">
        <f>'Scenario 2 Assumptions'!$B$6*('Scenario 2 Assumptions'!$D$33+'Scenario 2 Assumptions'!$D$34+'Scenario 2 Assumptions'!$D$35)</f>
        <v>3.3075E-2</v>
      </c>
      <c r="V41" s="180">
        <f t="shared" si="4"/>
        <v>0.66149999999999998</v>
      </c>
      <c r="W41" s="133">
        <f t="shared" si="5"/>
        <v>3.3075E-2</v>
      </c>
    </row>
    <row r="42" spans="1:23" s="99" customFormat="1" ht="13.5" customHeight="1">
      <c r="A42" s="28" t="s">
        <v>1175</v>
      </c>
      <c r="B42" s="52">
        <f>'Scenario 2 Assumptions'!$B$6*('Scenario 2 Assumptions'!$D$36)</f>
        <v>0</v>
      </c>
      <c r="C42" s="52">
        <f>'Scenario 2 Assumptions'!$B$6*('Scenario 2 Assumptions'!$D$36)</f>
        <v>0</v>
      </c>
      <c r="D42" s="52">
        <f>'Scenario 2 Assumptions'!$B$6*('Scenario 2 Assumptions'!$D$36)</f>
        <v>0</v>
      </c>
      <c r="E42" s="52">
        <f>'Scenario 2 Assumptions'!$B$6*('Scenario 2 Assumptions'!$D$36)</f>
        <v>0</v>
      </c>
      <c r="F42" s="52">
        <f>'Scenario 2 Assumptions'!$B$6*('Scenario 2 Assumptions'!$D$36)</f>
        <v>0</v>
      </c>
      <c r="G42" s="52">
        <f>'Scenario 2 Assumptions'!$B$6*('Scenario 2 Assumptions'!$D$36)</f>
        <v>0</v>
      </c>
      <c r="H42" s="52">
        <f>'Scenario 2 Assumptions'!$B$6*('Scenario 2 Assumptions'!$D$36)</f>
        <v>0</v>
      </c>
      <c r="I42" s="52">
        <f>'Scenario 2 Assumptions'!$B$6*('Scenario 2 Assumptions'!$D$36)</f>
        <v>0</v>
      </c>
      <c r="J42" s="52">
        <f>'Scenario 2 Assumptions'!$B$6*('Scenario 2 Assumptions'!$D$36)</f>
        <v>0</v>
      </c>
      <c r="K42" s="52">
        <f>'Scenario 2 Assumptions'!$B$6*('Scenario 2 Assumptions'!$D$36)</f>
        <v>0</v>
      </c>
      <c r="L42" s="52">
        <f>'Scenario 2 Assumptions'!$B$6*('Scenario 2 Assumptions'!$D$36)</f>
        <v>0</v>
      </c>
      <c r="M42" s="52">
        <f>'Scenario 2 Assumptions'!$B$6*('Scenario 2 Assumptions'!$D$36)</f>
        <v>0</v>
      </c>
      <c r="N42" s="52">
        <f>'Scenario 2 Assumptions'!$B$6*('Scenario 2 Assumptions'!$D$36)</f>
        <v>0</v>
      </c>
      <c r="O42" s="52">
        <f>'Scenario 2 Assumptions'!$B$6*('Scenario 2 Assumptions'!$D$36)</f>
        <v>0</v>
      </c>
      <c r="P42" s="52">
        <f>'Scenario 2 Assumptions'!$B$6*('Scenario 2 Assumptions'!$D$36)</f>
        <v>0</v>
      </c>
      <c r="Q42" s="52">
        <f>'Scenario 2 Assumptions'!$B$6*('Scenario 2 Assumptions'!$D$36)</f>
        <v>0</v>
      </c>
      <c r="R42" s="52">
        <f>'Scenario 2 Assumptions'!$B$6*('Scenario 2 Assumptions'!$D$36)</f>
        <v>0</v>
      </c>
      <c r="S42" s="52">
        <f>'Scenario 2 Assumptions'!$B$6*('Scenario 2 Assumptions'!$D$36)</f>
        <v>0</v>
      </c>
      <c r="T42" s="52">
        <f>'Scenario 2 Assumptions'!$B$6*('Scenario 2 Assumptions'!$D$36)</f>
        <v>0</v>
      </c>
      <c r="U42" s="52">
        <f>'Scenario 2 Assumptions'!$B$6*('Scenario 2 Assumptions'!$D$36)</f>
        <v>0</v>
      </c>
      <c r="V42" s="180">
        <f t="shared" si="4"/>
        <v>0</v>
      </c>
      <c r="W42" s="133">
        <f t="shared" si="5"/>
        <v>0</v>
      </c>
    </row>
    <row r="43" spans="1:23" s="99" customFormat="1" ht="13.5" customHeight="1">
      <c r="A43" s="28" t="s">
        <v>1185</v>
      </c>
      <c r="B43" s="52">
        <f>'Scenario 2 Assumptions'!$B$6*('Scenario 2 Assumptions'!$D$37)</f>
        <v>6.0749999999999997E-3</v>
      </c>
      <c r="C43" s="52">
        <f>'Scenario 2 Assumptions'!$B$6*('Scenario 2 Assumptions'!$D$37)</f>
        <v>6.0749999999999997E-3</v>
      </c>
      <c r="D43" s="52">
        <f>'Scenario 2 Assumptions'!$B$6*('Scenario 2 Assumptions'!$D$37)</f>
        <v>6.0749999999999997E-3</v>
      </c>
      <c r="E43" s="52">
        <f>'Scenario 2 Assumptions'!$B$6*('Scenario 2 Assumptions'!$D$37)</f>
        <v>6.0749999999999997E-3</v>
      </c>
      <c r="F43" s="52">
        <f>'Scenario 2 Assumptions'!$B$6*('Scenario 2 Assumptions'!$D$37)</f>
        <v>6.0749999999999997E-3</v>
      </c>
      <c r="G43" s="52">
        <f>'Scenario 2 Assumptions'!$B$6*('Scenario 2 Assumptions'!$D$37)</f>
        <v>6.0749999999999997E-3</v>
      </c>
      <c r="H43" s="52">
        <f>'Scenario 2 Assumptions'!$B$6*('Scenario 2 Assumptions'!$D$37)</f>
        <v>6.0749999999999997E-3</v>
      </c>
      <c r="I43" s="52">
        <f>'Scenario 2 Assumptions'!$B$6*('Scenario 2 Assumptions'!$D$37)</f>
        <v>6.0749999999999997E-3</v>
      </c>
      <c r="J43" s="52">
        <f>'Scenario 2 Assumptions'!$B$6*('Scenario 2 Assumptions'!$D$37)</f>
        <v>6.0749999999999997E-3</v>
      </c>
      <c r="K43" s="52">
        <f>'Scenario 2 Assumptions'!$B$6*('Scenario 2 Assumptions'!$D$37)</f>
        <v>6.0749999999999997E-3</v>
      </c>
      <c r="L43" s="52">
        <f>'Scenario 2 Assumptions'!$B$6*('Scenario 2 Assumptions'!$D$37)</f>
        <v>6.0749999999999997E-3</v>
      </c>
      <c r="M43" s="52">
        <f>'Scenario 2 Assumptions'!$B$6*('Scenario 2 Assumptions'!$D$37)</f>
        <v>6.0749999999999997E-3</v>
      </c>
      <c r="N43" s="52">
        <f>'Scenario 2 Assumptions'!$B$6*('Scenario 2 Assumptions'!$D$37)</f>
        <v>6.0749999999999997E-3</v>
      </c>
      <c r="O43" s="52">
        <f>'Scenario 2 Assumptions'!$B$6*('Scenario 2 Assumptions'!$D$37)</f>
        <v>6.0749999999999997E-3</v>
      </c>
      <c r="P43" s="52">
        <f>'Scenario 2 Assumptions'!$B$6*('Scenario 2 Assumptions'!$D$37)</f>
        <v>6.0749999999999997E-3</v>
      </c>
      <c r="Q43" s="52">
        <f>'Scenario 2 Assumptions'!$B$6*('Scenario 2 Assumptions'!$D$37)</f>
        <v>6.0749999999999997E-3</v>
      </c>
      <c r="R43" s="52">
        <f>'Scenario 2 Assumptions'!$B$6*('Scenario 2 Assumptions'!$D$37)</f>
        <v>6.0749999999999997E-3</v>
      </c>
      <c r="S43" s="52">
        <f>'Scenario 2 Assumptions'!$B$6*('Scenario 2 Assumptions'!$D$37)</f>
        <v>6.0749999999999997E-3</v>
      </c>
      <c r="T43" s="52">
        <f>'Scenario 2 Assumptions'!$B$6*('Scenario 2 Assumptions'!$D$37)</f>
        <v>6.0749999999999997E-3</v>
      </c>
      <c r="U43" s="52">
        <f>'Scenario 2 Assumptions'!$B$6*('Scenario 2 Assumptions'!$D$37)</f>
        <v>6.0749999999999997E-3</v>
      </c>
      <c r="V43" s="180">
        <f t="shared" si="4"/>
        <v>0.12149999999999996</v>
      </c>
      <c r="W43" s="133">
        <f t="shared" si="5"/>
        <v>6.0749999999999979E-3</v>
      </c>
    </row>
    <row r="44" spans="1:23" s="99" customFormat="1" ht="13.5" customHeight="1">
      <c r="A44" s="28"/>
      <c r="B44" s="52"/>
      <c r="C44" s="52"/>
      <c r="D44" s="52"/>
      <c r="E44" s="52"/>
      <c r="F44" s="52"/>
      <c r="G44" s="52"/>
      <c r="H44" s="52"/>
      <c r="I44" s="52"/>
      <c r="J44" s="52"/>
      <c r="K44" s="52"/>
      <c r="L44" s="52"/>
      <c r="M44" s="52"/>
      <c r="N44" s="52"/>
      <c r="O44" s="52"/>
      <c r="P44" s="52"/>
      <c r="Q44" s="52"/>
      <c r="R44" s="52"/>
      <c r="S44" s="52"/>
      <c r="T44" s="52"/>
      <c r="U44" s="52"/>
      <c r="V44" s="180"/>
      <c r="W44" s="133"/>
    </row>
    <row r="45" spans="1:23" s="100" customFormat="1" ht="13.5" customHeight="1">
      <c r="A45" s="10" t="s">
        <v>1157</v>
      </c>
      <c r="B45" s="52"/>
      <c r="C45" s="52"/>
      <c r="D45" s="52"/>
      <c r="E45" s="52"/>
      <c r="F45" s="52"/>
      <c r="G45" s="52"/>
      <c r="H45" s="52"/>
      <c r="I45" s="52"/>
      <c r="J45" s="52"/>
      <c r="K45" s="52"/>
      <c r="L45" s="52"/>
      <c r="M45" s="52"/>
      <c r="N45" s="52"/>
      <c r="O45" s="52"/>
      <c r="P45" s="52"/>
      <c r="Q45" s="52"/>
      <c r="R45" s="52"/>
      <c r="S45" s="52"/>
      <c r="T45" s="52"/>
      <c r="U45" s="52"/>
      <c r="V45" s="180"/>
      <c r="W45" s="133"/>
    </row>
    <row r="46" spans="1:23" s="100" customFormat="1" ht="50.25" customHeight="1">
      <c r="A46" s="327" t="s">
        <v>706</v>
      </c>
      <c r="B46" s="52">
        <f>('Scenario 2 Assumptions'!$C$284-2)*'Scenario 2 Assumptions'!$B$279</f>
        <v>5.0624999999999996E-2</v>
      </c>
      <c r="C46" s="52">
        <f>('Scenario 2 Assumptions'!$C$284-2)*'Scenario 2 Assumptions'!$B$279</f>
        <v>5.0624999999999996E-2</v>
      </c>
      <c r="D46" s="52">
        <f>('Scenario 2 Assumptions'!$C$284-2)*'Scenario 2 Assumptions'!$B$279</f>
        <v>5.0624999999999996E-2</v>
      </c>
      <c r="E46" s="52">
        <f>('Scenario 2 Assumptions'!$C$284-2)*'Scenario 2 Assumptions'!$B$279</f>
        <v>5.0624999999999996E-2</v>
      </c>
      <c r="F46" s="52">
        <f>('Scenario 2 Assumptions'!$C$284-2)*'Scenario 2 Assumptions'!$B$279</f>
        <v>5.0624999999999996E-2</v>
      </c>
      <c r="G46" s="52">
        <f>('Scenario 2 Assumptions'!$C$284-2)*'Scenario 2 Assumptions'!$B$279</f>
        <v>5.0624999999999996E-2</v>
      </c>
      <c r="H46" s="52">
        <f>('Scenario 2 Assumptions'!$C$284-2)*'Scenario 2 Assumptions'!$B$279</f>
        <v>5.0624999999999996E-2</v>
      </c>
      <c r="I46" s="52">
        <f>('Scenario 2 Assumptions'!$C$284-2)*'Scenario 2 Assumptions'!$B$279</f>
        <v>5.0624999999999996E-2</v>
      </c>
      <c r="J46" s="52">
        <f>('Scenario 2 Assumptions'!$C$284-2)*'Scenario 2 Assumptions'!$B$279</f>
        <v>5.0624999999999996E-2</v>
      </c>
      <c r="K46" s="52">
        <f>('Scenario 2 Assumptions'!$C$284-2)*'Scenario 2 Assumptions'!$B$279</f>
        <v>5.0624999999999996E-2</v>
      </c>
      <c r="L46" s="52">
        <f>('Scenario 2 Assumptions'!$C$284-2)*'Scenario 2 Assumptions'!$B$279</f>
        <v>5.0624999999999996E-2</v>
      </c>
      <c r="M46" s="52">
        <f>('Scenario 2 Assumptions'!$C$284-2)*'Scenario 2 Assumptions'!$B$279</f>
        <v>5.0624999999999996E-2</v>
      </c>
      <c r="N46" s="52">
        <f>('Scenario 2 Assumptions'!$C$284-2)*'Scenario 2 Assumptions'!$B$279</f>
        <v>5.0624999999999996E-2</v>
      </c>
      <c r="O46" s="52">
        <f>('Scenario 2 Assumptions'!$C$284-2)*'Scenario 2 Assumptions'!$B$279</f>
        <v>5.0624999999999996E-2</v>
      </c>
      <c r="P46" s="52">
        <f>('Scenario 2 Assumptions'!$C$284-2)*'Scenario 2 Assumptions'!$B$279</f>
        <v>5.0624999999999996E-2</v>
      </c>
      <c r="Q46" s="52">
        <f>('Scenario 2 Assumptions'!$C$284-2)*'Scenario 2 Assumptions'!$B$279</f>
        <v>5.0624999999999996E-2</v>
      </c>
      <c r="R46" s="52">
        <f>('Scenario 2 Assumptions'!$C$284-2)*'Scenario 2 Assumptions'!$B$279</f>
        <v>5.0624999999999996E-2</v>
      </c>
      <c r="S46" s="52">
        <f>('Scenario 2 Assumptions'!$C$284-2)*'Scenario 2 Assumptions'!$B$279</f>
        <v>5.0624999999999996E-2</v>
      </c>
      <c r="T46" s="52">
        <f>('Scenario 2 Assumptions'!$C$284-2)*'Scenario 2 Assumptions'!$B$279</f>
        <v>5.0624999999999996E-2</v>
      </c>
      <c r="U46" s="52">
        <f>('Scenario 2 Assumptions'!$C$284-2)*'Scenario 2 Assumptions'!$B$279</f>
        <v>5.0624999999999996E-2</v>
      </c>
      <c r="V46" s="180">
        <f t="shared" ref="V46" si="6">SUM(B46:U46)</f>
        <v>1.0125000000000002</v>
      </c>
      <c r="W46" s="133">
        <f t="shared" ref="W46" si="7">V46/20</f>
        <v>5.062500000000001E-2</v>
      </c>
    </row>
    <row r="47" spans="1:23" s="100" customFormat="1" ht="13.5" customHeight="1">
      <c r="B47" s="52"/>
      <c r="C47" s="52"/>
      <c r="D47" s="52"/>
      <c r="E47" s="52"/>
      <c r="F47" s="52"/>
      <c r="G47" s="52"/>
      <c r="H47" s="52"/>
      <c r="I47" s="52"/>
      <c r="J47" s="52"/>
      <c r="K47" s="52"/>
      <c r="L47" s="52"/>
      <c r="M47" s="52"/>
      <c r="N47" s="52"/>
      <c r="O47" s="52"/>
      <c r="P47" s="52"/>
      <c r="Q47" s="52"/>
      <c r="R47" s="52"/>
      <c r="S47" s="52"/>
      <c r="T47" s="52"/>
      <c r="U47" s="52"/>
      <c r="V47" s="180"/>
      <c r="W47" s="133"/>
    </row>
    <row r="48" spans="1:23" s="99" customFormat="1" ht="13.5" customHeight="1">
      <c r="A48" s="197" t="s">
        <v>18</v>
      </c>
      <c r="B48" s="148"/>
      <c r="C48" s="148"/>
      <c r="D48" s="148"/>
      <c r="E48" s="148"/>
      <c r="F48" s="148"/>
      <c r="G48" s="148"/>
      <c r="H48" s="148"/>
      <c r="I48" s="148"/>
      <c r="J48" s="148"/>
      <c r="K48" s="148"/>
      <c r="L48" s="148"/>
      <c r="M48" s="148"/>
      <c r="N48" s="148"/>
      <c r="O48" s="148"/>
      <c r="P48" s="148"/>
      <c r="Q48" s="148"/>
      <c r="R48" s="148"/>
      <c r="S48" s="148"/>
      <c r="T48" s="148"/>
      <c r="U48" s="148"/>
      <c r="V48" s="180"/>
      <c r="W48" s="133"/>
    </row>
    <row r="49" spans="1:23" s="99" customFormat="1" ht="13.5" customHeight="1">
      <c r="A49" s="10" t="s">
        <v>1174</v>
      </c>
      <c r="B49" s="52"/>
      <c r="C49" s="52"/>
      <c r="D49" s="52"/>
      <c r="E49" s="52"/>
      <c r="F49" s="52"/>
      <c r="G49" s="52"/>
      <c r="H49" s="52"/>
      <c r="I49" s="52"/>
      <c r="J49" s="52"/>
      <c r="K49" s="52"/>
      <c r="L49" s="52"/>
      <c r="M49" s="52"/>
      <c r="N49" s="52"/>
      <c r="O49" s="52"/>
      <c r="P49" s="52"/>
      <c r="Q49" s="52"/>
      <c r="R49" s="52"/>
      <c r="S49" s="52"/>
      <c r="T49" s="52"/>
      <c r="U49" s="52"/>
      <c r="V49" s="180"/>
      <c r="W49" s="133"/>
    </row>
    <row r="50" spans="1:23" s="100" customFormat="1" ht="13.5" customHeight="1">
      <c r="A50" s="100" t="s">
        <v>1186</v>
      </c>
      <c r="B50" s="52">
        <f>'Scenario 2 Assumptions'!$B$159</f>
        <v>1.4000000000000002E-3</v>
      </c>
      <c r="C50" s="52">
        <f>'Scenario 2 Assumptions'!$B$159</f>
        <v>1.4000000000000002E-3</v>
      </c>
      <c r="D50" s="52">
        <f>'Scenario 2 Assumptions'!$B$159</f>
        <v>1.4000000000000002E-3</v>
      </c>
      <c r="E50" s="52">
        <f>'Scenario 2 Assumptions'!$B$159</f>
        <v>1.4000000000000002E-3</v>
      </c>
      <c r="F50" s="52">
        <f>'Scenario 2 Assumptions'!$B$159</f>
        <v>1.4000000000000002E-3</v>
      </c>
      <c r="G50" s="52">
        <f>'Scenario 2 Assumptions'!$B$159</f>
        <v>1.4000000000000002E-3</v>
      </c>
      <c r="H50" s="52">
        <f>'Scenario 2 Assumptions'!$B$159</f>
        <v>1.4000000000000002E-3</v>
      </c>
      <c r="I50" s="52">
        <f>'Scenario 2 Assumptions'!$B$159</f>
        <v>1.4000000000000002E-3</v>
      </c>
      <c r="J50" s="52">
        <f>'Scenario 2 Assumptions'!$B$159</f>
        <v>1.4000000000000002E-3</v>
      </c>
      <c r="K50" s="52">
        <f>'Scenario 2 Assumptions'!$B$159</f>
        <v>1.4000000000000002E-3</v>
      </c>
      <c r="L50" s="52">
        <f>'Scenario 2 Assumptions'!$B$159</f>
        <v>1.4000000000000002E-3</v>
      </c>
      <c r="M50" s="52">
        <f>'Scenario 2 Assumptions'!$B$159</f>
        <v>1.4000000000000002E-3</v>
      </c>
      <c r="N50" s="52">
        <f>'Scenario 2 Assumptions'!$B$159</f>
        <v>1.4000000000000002E-3</v>
      </c>
      <c r="O50" s="52">
        <f>'Scenario 2 Assumptions'!$B$159</f>
        <v>1.4000000000000002E-3</v>
      </c>
      <c r="P50" s="52">
        <f>'Scenario 2 Assumptions'!$B$159</f>
        <v>1.4000000000000002E-3</v>
      </c>
      <c r="Q50" s="52">
        <f>'Scenario 2 Assumptions'!$B$159</f>
        <v>1.4000000000000002E-3</v>
      </c>
      <c r="R50" s="52">
        <f>'Scenario 2 Assumptions'!$B$159</f>
        <v>1.4000000000000002E-3</v>
      </c>
      <c r="S50" s="52">
        <f>'Scenario 2 Assumptions'!$B$159</f>
        <v>1.4000000000000002E-3</v>
      </c>
      <c r="T50" s="52">
        <f>'Scenario 2 Assumptions'!$B$159</f>
        <v>1.4000000000000002E-3</v>
      </c>
      <c r="U50" s="52">
        <f>'Scenario 2 Assumptions'!$B$159</f>
        <v>1.4000000000000002E-3</v>
      </c>
      <c r="V50" s="180">
        <f t="shared" ref="V50:V53" si="8">SUM(B50:U50)</f>
        <v>2.799999999999999E-2</v>
      </c>
      <c r="W50" s="133">
        <f t="shared" ref="W50:W53" si="9">V50/20</f>
        <v>1.3999999999999996E-3</v>
      </c>
    </row>
    <row r="51" spans="1:23" s="100" customFormat="1" ht="13.5" customHeight="1">
      <c r="B51" s="52"/>
      <c r="C51" s="52"/>
      <c r="D51" s="52"/>
      <c r="E51" s="52"/>
      <c r="F51" s="52"/>
      <c r="G51" s="52"/>
      <c r="H51" s="52"/>
      <c r="I51" s="52"/>
      <c r="J51" s="52"/>
      <c r="K51" s="52"/>
      <c r="L51" s="52"/>
      <c r="M51" s="52"/>
      <c r="N51" s="52"/>
      <c r="O51" s="52"/>
      <c r="P51" s="52"/>
      <c r="Q51" s="52"/>
      <c r="R51" s="52"/>
      <c r="S51" s="52"/>
      <c r="T51" s="52"/>
      <c r="U51" s="52"/>
      <c r="V51" s="180"/>
      <c r="W51" s="133"/>
    </row>
    <row r="52" spans="1:23" s="100" customFormat="1" ht="13.5" customHeight="1">
      <c r="A52" s="10" t="s">
        <v>1173</v>
      </c>
      <c r="B52" s="52"/>
      <c r="C52" s="52"/>
      <c r="D52" s="52"/>
      <c r="E52" s="52"/>
      <c r="F52" s="52"/>
      <c r="G52" s="52"/>
      <c r="H52" s="52"/>
      <c r="I52" s="52"/>
      <c r="J52" s="52"/>
      <c r="K52" s="52"/>
      <c r="L52" s="52"/>
      <c r="M52" s="52"/>
      <c r="N52" s="52"/>
      <c r="O52" s="52"/>
      <c r="P52" s="52"/>
      <c r="Q52" s="52"/>
      <c r="R52" s="52"/>
      <c r="S52" s="52"/>
      <c r="T52" s="52"/>
      <c r="U52" s="52"/>
      <c r="V52" s="180"/>
      <c r="W52" s="133"/>
    </row>
    <row r="53" spans="1:23" s="100" customFormat="1" ht="13.5" customHeight="1">
      <c r="A53" s="100" t="s">
        <v>1094</v>
      </c>
      <c r="B53" s="52">
        <f>'Scenario 2 Assumptions'!$B$271</f>
        <v>3.5490840517241384E-2</v>
      </c>
      <c r="C53" s="52">
        <f>'Scenario 2 Assumptions'!$B$271</f>
        <v>3.5490840517241384E-2</v>
      </c>
      <c r="D53" s="52">
        <f>'Scenario 2 Assumptions'!$B$271</f>
        <v>3.5490840517241384E-2</v>
      </c>
      <c r="E53" s="52">
        <f>'Scenario 2 Assumptions'!$B$271</f>
        <v>3.5490840517241384E-2</v>
      </c>
      <c r="F53" s="52">
        <f>'Scenario 2 Assumptions'!$B$271</f>
        <v>3.5490840517241384E-2</v>
      </c>
      <c r="G53" s="52">
        <f>'Scenario 2 Assumptions'!$B$271</f>
        <v>3.5490840517241384E-2</v>
      </c>
      <c r="H53" s="52">
        <f>'Scenario 2 Assumptions'!$B$271</f>
        <v>3.5490840517241384E-2</v>
      </c>
      <c r="I53" s="52">
        <f>'Scenario 2 Assumptions'!$B$271</f>
        <v>3.5490840517241384E-2</v>
      </c>
      <c r="J53" s="52">
        <f>'Scenario 2 Assumptions'!$B$271</f>
        <v>3.5490840517241384E-2</v>
      </c>
      <c r="K53" s="52">
        <f>'Scenario 2 Assumptions'!$B$271</f>
        <v>3.5490840517241384E-2</v>
      </c>
      <c r="L53" s="52">
        <f>'Scenario 2 Assumptions'!$B$271</f>
        <v>3.5490840517241384E-2</v>
      </c>
      <c r="M53" s="52">
        <f>'Scenario 2 Assumptions'!$B$271</f>
        <v>3.5490840517241384E-2</v>
      </c>
      <c r="N53" s="52">
        <f>'Scenario 2 Assumptions'!$B$271</f>
        <v>3.5490840517241384E-2</v>
      </c>
      <c r="O53" s="52">
        <f>'Scenario 2 Assumptions'!$B$271</f>
        <v>3.5490840517241384E-2</v>
      </c>
      <c r="P53" s="52">
        <f>'Scenario 2 Assumptions'!$B$271</f>
        <v>3.5490840517241384E-2</v>
      </c>
      <c r="Q53" s="52">
        <f>'Scenario 2 Assumptions'!$B$271</f>
        <v>3.5490840517241384E-2</v>
      </c>
      <c r="R53" s="52">
        <f>'Scenario 2 Assumptions'!$B$271</f>
        <v>3.5490840517241384E-2</v>
      </c>
      <c r="S53" s="52">
        <f>'Scenario 2 Assumptions'!$B$271</f>
        <v>3.5490840517241384E-2</v>
      </c>
      <c r="T53" s="52">
        <f>'Scenario 2 Assumptions'!$B$271</f>
        <v>3.5490840517241384E-2</v>
      </c>
      <c r="U53" s="52">
        <f>'Scenario 2 Assumptions'!$B$271</f>
        <v>3.5490840517241384E-2</v>
      </c>
      <c r="V53" s="180">
        <f t="shared" si="8"/>
        <v>0.70981681034482769</v>
      </c>
      <c r="W53" s="133">
        <f t="shared" si="9"/>
        <v>3.5490840517241384E-2</v>
      </c>
    </row>
    <row r="54" spans="1:23" s="100" customFormat="1" ht="13.5" customHeight="1">
      <c r="B54" s="52"/>
      <c r="C54" s="52"/>
      <c r="D54" s="52"/>
      <c r="E54" s="52"/>
      <c r="F54" s="52"/>
      <c r="G54" s="52"/>
      <c r="H54" s="52"/>
      <c r="I54" s="52"/>
      <c r="J54" s="52"/>
      <c r="K54" s="52"/>
      <c r="L54" s="52"/>
      <c r="M54" s="52"/>
      <c r="N54" s="52"/>
      <c r="O54" s="52"/>
      <c r="P54" s="52"/>
      <c r="Q54" s="52"/>
      <c r="R54" s="52"/>
      <c r="S54" s="52"/>
      <c r="T54" s="52"/>
      <c r="U54" s="52"/>
      <c r="V54" s="180"/>
      <c r="W54" s="133"/>
    </row>
    <row r="55" spans="1:23" s="100" customFormat="1" ht="13.5" customHeight="1">
      <c r="A55" s="197" t="s">
        <v>1340</v>
      </c>
      <c r="B55" s="52"/>
      <c r="C55" s="52"/>
      <c r="D55" s="52"/>
      <c r="E55" s="52"/>
      <c r="F55" s="52"/>
      <c r="G55" s="52"/>
      <c r="H55" s="52"/>
      <c r="I55" s="52"/>
      <c r="J55" s="52"/>
      <c r="K55" s="52"/>
      <c r="L55" s="52"/>
      <c r="M55" s="52"/>
      <c r="N55" s="52"/>
      <c r="O55" s="52"/>
      <c r="P55" s="52"/>
      <c r="Q55" s="52"/>
      <c r="R55" s="52"/>
      <c r="S55" s="52"/>
      <c r="T55" s="52"/>
      <c r="U55" s="52"/>
      <c r="V55" s="180"/>
      <c r="W55" s="133"/>
    </row>
    <row r="56" spans="1:23" s="99" customFormat="1" ht="13.5" customHeight="1">
      <c r="A56" s="100" t="s">
        <v>1031</v>
      </c>
      <c r="B56" s="52">
        <f t="shared" ref="B56:U56" si="10">SUM(B50:B55)</f>
        <v>3.6890840517241383E-2</v>
      </c>
      <c r="C56" s="52">
        <f t="shared" si="10"/>
        <v>3.6890840517241383E-2</v>
      </c>
      <c r="D56" s="52">
        <f t="shared" si="10"/>
        <v>3.6890840517241383E-2</v>
      </c>
      <c r="E56" s="52">
        <f t="shared" si="10"/>
        <v>3.6890840517241383E-2</v>
      </c>
      <c r="F56" s="52">
        <f t="shared" si="10"/>
        <v>3.6890840517241383E-2</v>
      </c>
      <c r="G56" s="52">
        <f t="shared" si="10"/>
        <v>3.6890840517241383E-2</v>
      </c>
      <c r="H56" s="52">
        <f t="shared" si="10"/>
        <v>3.6890840517241383E-2</v>
      </c>
      <c r="I56" s="52">
        <f t="shared" si="10"/>
        <v>3.6890840517241383E-2</v>
      </c>
      <c r="J56" s="52">
        <f t="shared" si="10"/>
        <v>3.6890840517241383E-2</v>
      </c>
      <c r="K56" s="52">
        <f t="shared" si="10"/>
        <v>3.6890840517241383E-2</v>
      </c>
      <c r="L56" s="52">
        <f t="shared" si="10"/>
        <v>3.6890840517241383E-2</v>
      </c>
      <c r="M56" s="52">
        <f t="shared" si="10"/>
        <v>3.6890840517241383E-2</v>
      </c>
      <c r="N56" s="52">
        <f t="shared" si="10"/>
        <v>3.6890840517241383E-2</v>
      </c>
      <c r="O56" s="52">
        <f t="shared" si="10"/>
        <v>3.6890840517241383E-2</v>
      </c>
      <c r="P56" s="52">
        <f t="shared" si="10"/>
        <v>3.6890840517241383E-2</v>
      </c>
      <c r="Q56" s="52">
        <f t="shared" si="10"/>
        <v>3.6890840517241383E-2</v>
      </c>
      <c r="R56" s="52">
        <f t="shared" si="10"/>
        <v>3.6890840517241383E-2</v>
      </c>
      <c r="S56" s="52">
        <f t="shared" si="10"/>
        <v>3.6890840517241383E-2</v>
      </c>
      <c r="T56" s="52">
        <f t="shared" si="10"/>
        <v>3.6890840517241383E-2</v>
      </c>
      <c r="U56" s="52">
        <f t="shared" si="10"/>
        <v>3.6890840517241383E-2</v>
      </c>
      <c r="V56" s="180">
        <f t="shared" ref="V56" si="11">SUM(B56:U56)</f>
        <v>0.73781681034482749</v>
      </c>
      <c r="W56" s="133">
        <f t="shared" si="5"/>
        <v>3.6890840517241376E-2</v>
      </c>
    </row>
    <row r="57" spans="1:23" s="99" customFormat="1" ht="13.5" customHeight="1">
      <c r="A57" s="100" t="s">
        <v>1012</v>
      </c>
      <c r="B57" s="148">
        <f>SUM(B14:B19,B22,B25:B26,B29:B43,B46)</f>
        <v>24.187649999999998</v>
      </c>
      <c r="C57" s="148">
        <f t="shared" ref="C57:U57" si="12">SUM(C14:C19,C22,C25:C26,C29:C43,C46)</f>
        <v>0.14715</v>
      </c>
      <c r="D57" s="148">
        <f t="shared" si="12"/>
        <v>0.1404</v>
      </c>
      <c r="E57" s="148">
        <f t="shared" si="12"/>
        <v>0.19439999999999999</v>
      </c>
      <c r="F57" s="148">
        <f t="shared" si="12"/>
        <v>0.14715</v>
      </c>
      <c r="G57" s="148">
        <f t="shared" si="12"/>
        <v>0.1404</v>
      </c>
      <c r="H57" s="148">
        <f t="shared" si="12"/>
        <v>0.18090000000000001</v>
      </c>
      <c r="I57" s="148">
        <f t="shared" si="12"/>
        <v>0.1404</v>
      </c>
      <c r="J57" s="148">
        <f t="shared" si="12"/>
        <v>0.15390000000000001</v>
      </c>
      <c r="K57" s="148">
        <f t="shared" si="12"/>
        <v>0.18765000000000001</v>
      </c>
      <c r="L57" s="148">
        <f t="shared" si="12"/>
        <v>0.1404</v>
      </c>
      <c r="M57" s="148">
        <f t="shared" si="12"/>
        <v>0.1404</v>
      </c>
      <c r="N57" s="148">
        <f t="shared" si="12"/>
        <v>0.18090000000000001</v>
      </c>
      <c r="O57" s="148">
        <f t="shared" si="12"/>
        <v>0.15390000000000001</v>
      </c>
      <c r="P57" s="148">
        <f t="shared" si="12"/>
        <v>0.1404</v>
      </c>
      <c r="Q57" s="148">
        <f t="shared" si="12"/>
        <v>0.18090000000000001</v>
      </c>
      <c r="R57" s="148">
        <f t="shared" si="12"/>
        <v>0.1404</v>
      </c>
      <c r="S57" s="148">
        <f t="shared" si="12"/>
        <v>0.1404</v>
      </c>
      <c r="T57" s="148">
        <f t="shared" si="12"/>
        <v>0.19439999999999999</v>
      </c>
      <c r="U57" s="148">
        <f t="shared" si="12"/>
        <v>0.1404</v>
      </c>
      <c r="V57" s="180">
        <f>SUM(B57:U57)</f>
        <v>27.172500000000003</v>
      </c>
      <c r="W57" s="133">
        <f t="shared" ref="W57:W58" si="13">V57/20</f>
        <v>1.3586250000000002</v>
      </c>
    </row>
    <row r="58" spans="1:23" s="99" customFormat="1" ht="25.5">
      <c r="A58" s="375" t="s">
        <v>1334</v>
      </c>
      <c r="B58" s="148">
        <f>('Scenario 2 Assumptions'!$B$6*('Scenario 2 Assumptions'!$D$43))+(('Scenario 2 Assumptions'!$D$180+'Scenario 2 Assumptions'!$D$181+'Scenario 2 Assumptions'!D186+'Scenario 2 Assumptions'!D184)*'Scenario 2 Assumptions'!$B$176)+B$22+B$25+B$26+B$46</f>
        <v>24.134325</v>
      </c>
      <c r="C58" s="148">
        <f>('Scenario 2 Assumptions'!$B$6*('Scenario 2 Assumptions'!$D$43))+C$22+C$25+C$26+C$46</f>
        <v>0.11407499999999998</v>
      </c>
      <c r="D58" s="148">
        <f>('Scenario 2 Assumptions'!$B$6*('Scenario 2 Assumptions'!$D$43))+D$22+D$25+D$26+D$46</f>
        <v>0.10732499999999998</v>
      </c>
      <c r="E58" s="148">
        <f>('Scenario 2 Assumptions'!$B$6*('Scenario 2 Assumptions'!$D$43))+(('Scenario 2 Assumptions'!$D$180+'Scenario 2 Assumptions'!$D$181+'Scenario 2 Assumptions'!$D$187+'Scenario 2 Assumptions'!$D$188+'Scenario 2 Assumptions'!D184)*'Scenario 2 Assumptions'!$B$176)+E$22+E$25+E$26+E$46</f>
        <v>0.14107499999999998</v>
      </c>
      <c r="F58" s="148">
        <f>('Scenario 2 Assumptions'!$B$6*('Scenario 2 Assumptions'!$D$43))+F$22+F$25+F$26+F$46</f>
        <v>0.11407499999999998</v>
      </c>
      <c r="G58" s="148">
        <f>('Scenario 2 Assumptions'!$B$6*('Scenario 2 Assumptions'!$D$43))+G$22+G$25+G$26+G$46</f>
        <v>0.10732499999999998</v>
      </c>
      <c r="H58" s="148">
        <f>('Scenario 2 Assumptions'!$B$6*('Scenario 2 Assumptions'!$D$43))+(('Scenario 2 Assumptions'!$D$180+'Scenario 2 Assumptions'!$D$181+'Scenario 2 Assumptions'!D184)*'Scenario 2 Assumptions'!$B$176)+H$22+H$25+H$26+H$46</f>
        <v>0.12757499999999999</v>
      </c>
      <c r="I58" s="148">
        <f>('Scenario 2 Assumptions'!$B$6*('Scenario 2 Assumptions'!$D$43))+I$22+I$25+I$26+I$46</f>
        <v>0.10732499999999998</v>
      </c>
      <c r="J58" s="148">
        <f>('Scenario 2 Assumptions'!$B$6*('Scenario 2 Assumptions'!$D$43))+SUM($J$14:$J$19,$J$22:$J$26,J46)</f>
        <v>0.12082499999999999</v>
      </c>
      <c r="K58" s="148">
        <f>('Scenario 2 Assumptions'!$B$6*('Scenario 2 Assumptions'!$D$43))+(('Scenario 2 Assumptions'!$D$180+'Scenario 2 Assumptions'!$D$181)*'Scenario 2 Assumptions'!$B$176)+K$22+K$25+K$26+K$46</f>
        <v>0.12757499999999999</v>
      </c>
      <c r="L58" s="148">
        <f>('Scenario 2 Assumptions'!$B$6*('Scenario 2 Assumptions'!$D$43))+SUM(L14:L21,L22:L27,L46)</f>
        <v>0.10732499999999998</v>
      </c>
      <c r="M58" s="148">
        <f>('Scenario 2 Assumptions'!$B$6*('Scenario 2 Assumptions'!$D$43))+SUM(M14:M21,M22:M27,M46)</f>
        <v>0.10732499999999998</v>
      </c>
      <c r="N58" s="148">
        <f>('Scenario 2 Assumptions'!$B$6*('Scenario 2 Assumptions'!$D$43))+(('Scenario 2 Assumptions'!$D$180+'Scenario 2 Assumptions'!$D$181+'Scenario 2 Assumptions'!D184)*'Scenario 2 Assumptions'!$B$176)+N$22+N$25+N$26+N46</f>
        <v>0.12757499999999999</v>
      </c>
      <c r="O58" s="148">
        <f>('Scenario 2 Assumptions'!$B$6*('Scenario 2 Assumptions'!$D$43))+SUM(O$14:O$21,O$22:O$27,O46)</f>
        <v>0.12082499999999999</v>
      </c>
      <c r="P58" s="148">
        <f>('Scenario 2 Assumptions'!$B$6*('Scenario 2 Assumptions'!$D$43))+SUM(P$14:P$21,P$22:P$27,P46)</f>
        <v>0.10732499999999998</v>
      </c>
      <c r="Q58" s="148">
        <f>('Scenario 2 Assumptions'!$B$6*('Scenario 2 Assumptions'!$D$43))+(('Scenario 2 Assumptions'!$D$180+'Scenario 2 Assumptions'!$D$181)*'Scenario 2 Assumptions'!$B$176)+Q$22+Q$25+Q$26+Q46</f>
        <v>0.12082499999999999</v>
      </c>
      <c r="R58" s="148">
        <f>('Scenario 2 Assumptions'!$B$6*('Scenario 2 Assumptions'!$D$43))+SUM(R$14:R$21,R$22:R$27,R46)</f>
        <v>0.10732499999999998</v>
      </c>
      <c r="S58" s="148">
        <f>('Scenario 2 Assumptions'!$B$6*('Scenario 2 Assumptions'!$D$43))+SUM(S$14:S$21,S$22:S$27,S46)</f>
        <v>0.10732499999999998</v>
      </c>
      <c r="T58" s="148">
        <f>('Scenario 2 Assumptions'!$B$6*('Scenario 2 Assumptions'!$D$43))+(('Scenario 2 Assumptions'!$D$180+'Scenario 2 Assumptions'!$D$181+'Scenario 2 Assumptions'!D187+'Scenario 2 Assumptions'!D188)*'Scenario 2 Assumptions'!$B$176)+T$22+T$25+T$26+T46</f>
        <v>0.13432499999999997</v>
      </c>
      <c r="U58" s="148">
        <f>('Scenario 2 Assumptions'!$B$6*('Scenario 2 Assumptions'!$D$43))+SUM(U$14:U$21,U$22:U$27,U46)</f>
        <v>0.10732499999999998</v>
      </c>
      <c r="V58" s="180">
        <f>SUM(B58:U58)</f>
        <v>26.348999999999997</v>
      </c>
      <c r="W58" s="133">
        <f t="shared" si="13"/>
        <v>1.3174499999999998</v>
      </c>
    </row>
    <row r="59" spans="1:23" s="3" customFormat="1" ht="13.5" customHeight="1">
      <c r="A59" s="100" t="s">
        <v>1032</v>
      </c>
      <c r="B59" s="52">
        <f t="shared" ref="B59:U59" si="14">B56+B57</f>
        <v>24.224540840517239</v>
      </c>
      <c r="C59" s="52">
        <f t="shared" si="14"/>
        <v>0.1840408405172414</v>
      </c>
      <c r="D59" s="52">
        <f t="shared" si="14"/>
        <v>0.17729084051724137</v>
      </c>
      <c r="E59" s="52">
        <f t="shared" si="14"/>
        <v>0.23129084051724136</v>
      </c>
      <c r="F59" s="52">
        <f t="shared" si="14"/>
        <v>0.1840408405172414</v>
      </c>
      <c r="G59" s="52">
        <f t="shared" si="14"/>
        <v>0.17729084051724137</v>
      </c>
      <c r="H59" s="52">
        <f t="shared" si="14"/>
        <v>0.2177908405172414</v>
      </c>
      <c r="I59" s="52">
        <f t="shared" si="14"/>
        <v>0.17729084051724137</v>
      </c>
      <c r="J59" s="52">
        <f t="shared" si="14"/>
        <v>0.19079084051724138</v>
      </c>
      <c r="K59" s="52">
        <f t="shared" si="14"/>
        <v>0.22454084051724138</v>
      </c>
      <c r="L59" s="52">
        <f t="shared" si="14"/>
        <v>0.17729084051724137</v>
      </c>
      <c r="M59" s="52">
        <f t="shared" si="14"/>
        <v>0.17729084051724137</v>
      </c>
      <c r="N59" s="52">
        <f t="shared" si="14"/>
        <v>0.2177908405172414</v>
      </c>
      <c r="O59" s="52">
        <f t="shared" si="14"/>
        <v>0.19079084051724138</v>
      </c>
      <c r="P59" s="52">
        <f t="shared" si="14"/>
        <v>0.17729084051724137</v>
      </c>
      <c r="Q59" s="52">
        <f t="shared" si="14"/>
        <v>0.2177908405172414</v>
      </c>
      <c r="R59" s="52">
        <f t="shared" si="14"/>
        <v>0.17729084051724137</v>
      </c>
      <c r="S59" s="52">
        <f t="shared" si="14"/>
        <v>0.17729084051724137</v>
      </c>
      <c r="T59" s="52">
        <f t="shared" si="14"/>
        <v>0.23129084051724136</v>
      </c>
      <c r="U59" s="52">
        <f t="shared" si="14"/>
        <v>0.17729084051724137</v>
      </c>
      <c r="V59" s="288">
        <f>SUM(B59:U59)</f>
        <v>27.910316810344828</v>
      </c>
      <c r="W59" s="133">
        <f>V59/20</f>
        <v>1.3955158405172414</v>
      </c>
    </row>
    <row r="60" spans="1:23" s="3" customFormat="1" ht="13.5" customHeight="1">
      <c r="A60" s="4" t="s">
        <v>709</v>
      </c>
      <c r="B60" s="34">
        <f>B56+B58</f>
        <v>24.171215840517242</v>
      </c>
      <c r="C60" s="34">
        <f t="shared" ref="C60:U60" si="15">C56+C58</f>
        <v>0.15096584051724138</v>
      </c>
      <c r="D60" s="34">
        <f t="shared" si="15"/>
        <v>0.14421584051724134</v>
      </c>
      <c r="E60" s="34">
        <f t="shared" si="15"/>
        <v>0.17796584051724135</v>
      </c>
      <c r="F60" s="34">
        <f t="shared" si="15"/>
        <v>0.15096584051724138</v>
      </c>
      <c r="G60" s="34">
        <f t="shared" si="15"/>
        <v>0.14421584051724134</v>
      </c>
      <c r="H60" s="34">
        <f t="shared" si="15"/>
        <v>0.16446584051724139</v>
      </c>
      <c r="I60" s="34">
        <f t="shared" si="15"/>
        <v>0.14421584051724134</v>
      </c>
      <c r="J60" s="34">
        <f t="shared" si="15"/>
        <v>0.15771584051724136</v>
      </c>
      <c r="K60" s="34">
        <f t="shared" si="15"/>
        <v>0.16446584051724139</v>
      </c>
      <c r="L60" s="34">
        <f t="shared" si="15"/>
        <v>0.14421584051724134</v>
      </c>
      <c r="M60" s="34">
        <f t="shared" si="15"/>
        <v>0.14421584051724134</v>
      </c>
      <c r="N60" s="34">
        <f t="shared" si="15"/>
        <v>0.16446584051724139</v>
      </c>
      <c r="O60" s="34">
        <f t="shared" si="15"/>
        <v>0.15771584051724136</v>
      </c>
      <c r="P60" s="34">
        <f t="shared" si="15"/>
        <v>0.14421584051724134</v>
      </c>
      <c r="Q60" s="34">
        <f t="shared" si="15"/>
        <v>0.15771584051724136</v>
      </c>
      <c r="R60" s="34">
        <f t="shared" si="15"/>
        <v>0.14421584051724134</v>
      </c>
      <c r="S60" s="34">
        <f t="shared" si="15"/>
        <v>0.14421584051724134</v>
      </c>
      <c r="T60" s="34">
        <f t="shared" si="15"/>
        <v>0.17121584051724137</v>
      </c>
      <c r="U60" s="34">
        <f t="shared" si="15"/>
        <v>0.14421584051724134</v>
      </c>
      <c r="V60" s="289">
        <f>SUM(B60:U60)</f>
        <v>27.086816810344821</v>
      </c>
      <c r="W60" s="35">
        <f>V60/20</f>
        <v>1.354340840517241</v>
      </c>
    </row>
    <row r="61" spans="1:23" ht="13.5" customHeight="1">
      <c r="A61" s="165" t="s">
        <v>123</v>
      </c>
      <c r="B61" s="52">
        <v>0.96618357487922713</v>
      </c>
      <c r="C61" s="52">
        <v>0.93351070036640305</v>
      </c>
      <c r="D61" s="52">
        <v>0.90194270566802237</v>
      </c>
      <c r="E61" s="52">
        <v>0.87144222769857238</v>
      </c>
      <c r="F61" s="52">
        <v>0.84197316685852419</v>
      </c>
      <c r="G61" s="52">
        <v>0.81350064430775282</v>
      </c>
      <c r="H61" s="52">
        <v>0.78599096068381913</v>
      </c>
      <c r="I61" s="52">
        <v>0.75941155621625056</v>
      </c>
      <c r="J61" s="52">
        <v>0.73373097218961414</v>
      </c>
      <c r="K61" s="52">
        <v>0.70891881370977217</v>
      </c>
      <c r="L61" s="52">
        <v>0.68494571372924851</v>
      </c>
      <c r="M61" s="52">
        <v>0.66178329828912896</v>
      </c>
      <c r="N61" s="52">
        <v>0.63940415293635666</v>
      </c>
      <c r="O61" s="52">
        <v>0.61778179027667302</v>
      </c>
      <c r="P61" s="52">
        <v>0.59689061862480497</v>
      </c>
      <c r="Q61" s="52">
        <v>0.57670591171478747</v>
      </c>
      <c r="R61" s="52">
        <v>0.55720377943457733</v>
      </c>
      <c r="S61" s="52">
        <v>0.53836113955031628</v>
      </c>
      <c r="T61" s="52">
        <v>0.52015569038677911</v>
      </c>
      <c r="U61" s="52">
        <v>0.50256588443167061</v>
      </c>
      <c r="V61" s="288"/>
      <c r="W61" s="133"/>
    </row>
    <row r="62" spans="1:23" s="81" customFormat="1" ht="13.5" customHeight="1">
      <c r="A62" s="100" t="s">
        <v>1033</v>
      </c>
      <c r="B62" s="52">
        <f>B61*B59</f>
        <v>23.405353469098785</v>
      </c>
      <c r="C62" s="52">
        <f t="shared" ref="C62:U62" si="16">C61*C59</f>
        <v>0.1718040939272715</v>
      </c>
      <c r="D62" s="52">
        <f t="shared" si="16"/>
        <v>0.15990618038627852</v>
      </c>
      <c r="E62" s="52">
        <f t="shared" si="16"/>
        <v>0.20155660530662003</v>
      </c>
      <c r="F62" s="52">
        <f t="shared" si="16"/>
        <v>0.15495744932160632</v>
      </c>
      <c r="G62" s="52">
        <f t="shared" si="16"/>
        <v>0.1442262129906389</v>
      </c>
      <c r="H62" s="52">
        <f t="shared" si="16"/>
        <v>0.171181631966283</v>
      </c>
      <c r="I62" s="52">
        <f t="shared" si="16"/>
        <v>0.13463671310008535</v>
      </c>
      <c r="J62" s="52">
        <f t="shared" si="16"/>
        <v>0.13998914889758915</v>
      </c>
      <c r="K62" s="52">
        <f t="shared" si="16"/>
        <v>0.1591812262888779</v>
      </c>
      <c r="L62" s="52">
        <f t="shared" si="16"/>
        <v>0.12143460129574025</v>
      </c>
      <c r="M62" s="52">
        <f t="shared" si="16"/>
        <v>0.11732811719395193</v>
      </c>
      <c r="N62" s="52">
        <f t="shared" si="16"/>
        <v>0.13925636789822388</v>
      </c>
      <c r="O62" s="52">
        <f t="shared" si="16"/>
        <v>0.11786710702313258</v>
      </c>
      <c r="P62" s="52">
        <f t="shared" si="16"/>
        <v>0.10582323947284783</v>
      </c>
      <c r="Q62" s="52">
        <f t="shared" si="16"/>
        <v>0.12560126524362558</v>
      </c>
      <c r="R62" s="52">
        <f t="shared" si="16"/>
        <v>9.8787126395339778E-2</v>
      </c>
      <c r="S62" s="52">
        <f t="shared" si="16"/>
        <v>9.5446498932695453E-2</v>
      </c>
      <c r="T62" s="52">
        <f t="shared" si="16"/>
        <v>0.1203072468293841</v>
      </c>
      <c r="U62" s="52">
        <f t="shared" si="16"/>
        <v>8.9100328066181664E-2</v>
      </c>
      <c r="V62" s="180">
        <f>SUM(B62:U62)</f>
        <v>25.97374462963516</v>
      </c>
      <c r="W62" s="133"/>
    </row>
    <row r="63" spans="1:23" s="3" customFormat="1" ht="27" customHeight="1">
      <c r="A63" s="260" t="s">
        <v>1034</v>
      </c>
      <c r="B63" s="34">
        <f>B61*B60</f>
        <v>23.353831729968352</v>
      </c>
      <c r="C63" s="34">
        <f t="shared" ref="C63:U63" si="17">C61*C60</f>
        <v>0.14092822751265272</v>
      </c>
      <c r="D63" s="34">
        <f t="shared" si="17"/>
        <v>0.13007442539630867</v>
      </c>
      <c r="E63" s="34">
        <f t="shared" si="17"/>
        <v>0.15508694851459365</v>
      </c>
      <c r="F63" s="34">
        <f t="shared" si="17"/>
        <v>0.12710918682776062</v>
      </c>
      <c r="G63" s="34">
        <f t="shared" si="17"/>
        <v>0.11731967918015995</v>
      </c>
      <c r="H63" s="34">
        <f t="shared" si="17"/>
        <v>0.12926866398781833</v>
      </c>
      <c r="I63" s="34">
        <f t="shared" si="17"/>
        <v>0.10951917587823286</v>
      </c>
      <c r="J63" s="34">
        <f t="shared" si="17"/>
        <v>0.11572099699241764</v>
      </c>
      <c r="K63" s="34">
        <f t="shared" si="17"/>
        <v>0.11659292855526335</v>
      </c>
      <c r="L63" s="34">
        <f t="shared" si="17"/>
        <v>9.8780021814145344E-2</v>
      </c>
      <c r="M63" s="34">
        <f t="shared" si="17"/>
        <v>9.5439634603038975E-2</v>
      </c>
      <c r="N63" s="34">
        <f t="shared" si="17"/>
        <v>0.10516014144289265</v>
      </c>
      <c r="O63" s="34">
        <f t="shared" si="17"/>
        <v>9.7433974309731608E-2</v>
      </c>
      <c r="P63" s="34">
        <f t="shared" si="17"/>
        <v>8.6081082261832406E-2</v>
      </c>
      <c r="Q63" s="34">
        <f t="shared" si="17"/>
        <v>9.0955657597359699E-2</v>
      </c>
      <c r="R63" s="34">
        <f t="shared" si="17"/>
        <v>8.0357611390541123E-2</v>
      </c>
      <c r="S63" s="34">
        <f t="shared" si="17"/>
        <v>7.7640204242068731E-2</v>
      </c>
      <c r="T63" s="34">
        <f t="shared" si="17"/>
        <v>8.9058893729398347E-2</v>
      </c>
      <c r="U63" s="34">
        <f t="shared" si="17"/>
        <v>7.2477961438604147E-2</v>
      </c>
      <c r="V63" s="182">
        <f>SUM(B63:U63)</f>
        <v>25.388837145643173</v>
      </c>
      <c r="W63" s="133"/>
    </row>
    <row r="64" spans="1:23" s="3" customFormat="1" ht="27" customHeight="1">
      <c r="A64" s="260"/>
      <c r="B64" s="34"/>
      <c r="C64" s="34"/>
      <c r="D64" s="34"/>
      <c r="E64" s="34"/>
      <c r="F64" s="34"/>
      <c r="G64" s="34"/>
      <c r="H64" s="34"/>
      <c r="I64" s="34"/>
      <c r="J64" s="34"/>
      <c r="K64" s="34"/>
      <c r="L64" s="34"/>
      <c r="M64" s="34"/>
      <c r="N64" s="34"/>
      <c r="O64" s="34"/>
      <c r="P64" s="34"/>
      <c r="Q64" s="34"/>
      <c r="R64" s="34"/>
      <c r="S64" s="34"/>
      <c r="T64" s="34"/>
      <c r="U64" s="34"/>
      <c r="V64" s="182"/>
      <c r="W64" s="35"/>
    </row>
    <row r="65" spans="1:23" s="3" customFormat="1" ht="27" customHeight="1">
      <c r="A65" s="286" t="s">
        <v>1349</v>
      </c>
      <c r="B65" s="379">
        <f>(('Scenario 2 Assumptions'!$D$180+'Scenario 2 Assumptions'!$D$181+'Scenario 2 Assumptions'!$D$186+'Scenario 2 Assumptions'!$D$184)*'Scenario 2 Assumptions'!$B$176)</f>
        <v>2.7E-2</v>
      </c>
      <c r="C65" s="379">
        <v>0</v>
      </c>
      <c r="D65" s="379">
        <v>0</v>
      </c>
      <c r="E65" s="379">
        <f>(('Scenario 2 Assumptions'!$D$180+'Scenario 2 Assumptions'!$D$181+'Scenario 2 Assumptions'!$D$184+'Scenario 2 Assumptions'!$D$187+'Scenario 2 Assumptions'!$D$188)*'Scenario 2 Assumptions'!$B$176)</f>
        <v>3.3750000000000002E-2</v>
      </c>
      <c r="F65" s="379">
        <v>0</v>
      </c>
      <c r="G65" s="379">
        <v>0</v>
      </c>
      <c r="H65" s="379">
        <f>(('Scenario 2 Assumptions'!$D$180+'Scenario 2 Assumptions'!$D$181+'Scenario 2 Assumptions'!$D$184)*'Scenario 2 Assumptions'!$B$176)</f>
        <v>2.0250000000000001E-2</v>
      </c>
      <c r="I65" s="379">
        <v>0</v>
      </c>
      <c r="J65" s="379">
        <f>('Scenario 2 Assumptions'!$D$187+'Scenario 2 Assumptions'!$D$188)*'Scenario 2 Assumptions'!$B$176</f>
        <v>1.35E-2</v>
      </c>
      <c r="K65" s="379">
        <f>(('Scenario 2 Assumptions'!$D$180+'Scenario 2 Assumptions'!$D$181+'Scenario 2 Assumptions'!$D$184)*'Scenario 2 Assumptions'!$B$176)</f>
        <v>2.0250000000000001E-2</v>
      </c>
      <c r="L65" s="379">
        <v>0</v>
      </c>
      <c r="M65" s="379">
        <v>0</v>
      </c>
      <c r="N65" s="379">
        <f>(('Scenario 2 Assumptions'!$D$180+'Scenario 2 Assumptions'!$D$181+'Scenario 2 Assumptions'!$D$184)*'Scenario 2 Assumptions'!$B$176)</f>
        <v>2.0250000000000001E-2</v>
      </c>
      <c r="O65" s="379">
        <f>('Scenario 2 Assumptions'!$D$187+'Scenario 2 Assumptions'!$D$188)*'Scenario 2 Assumptions'!$B$176</f>
        <v>1.35E-2</v>
      </c>
      <c r="P65" s="379">
        <v>0</v>
      </c>
      <c r="Q65" s="379">
        <f>(('Scenario 2 Assumptions'!$D$180+'Scenario 2 Assumptions'!$D$181+'Scenario 2 Assumptions'!$D$184)*'Scenario 2 Assumptions'!$B$176)</f>
        <v>2.0250000000000001E-2</v>
      </c>
      <c r="R65" s="379">
        <v>0</v>
      </c>
      <c r="S65" s="379">
        <v>0</v>
      </c>
      <c r="T65" s="379">
        <f>(('Scenario 2 Assumptions'!$D$180+'Scenario 2 Assumptions'!$D$181+'Scenario 2 Assumptions'!$D$184)*'Scenario 2 Assumptions'!$B$176)</f>
        <v>2.0250000000000001E-2</v>
      </c>
      <c r="U65" s="379">
        <v>0</v>
      </c>
      <c r="V65" s="290">
        <f t="shared" ref="V65" si="18">SUM(B65:U65)</f>
        <v>0.189</v>
      </c>
      <c r="W65" s="285">
        <f t="shared" ref="W65" si="19">V65/20</f>
        <v>9.4500000000000001E-3</v>
      </c>
    </row>
    <row r="66" spans="1:23" s="3" customFormat="1" ht="27" customHeight="1">
      <c r="A66" s="286" t="s">
        <v>1350</v>
      </c>
      <c r="B66" s="284">
        <f>B60-B22-B50-B53-B65</f>
        <v>0.10732500000000031</v>
      </c>
      <c r="C66" s="284">
        <f t="shared" ref="C66:U66" si="20">C60-C22-C50-C53-C65</f>
        <v>0.11407499999999998</v>
      </c>
      <c r="D66" s="284">
        <f t="shared" si="20"/>
        <v>0.10732499999999995</v>
      </c>
      <c r="E66" s="284">
        <f t="shared" si="20"/>
        <v>0.10732499999999995</v>
      </c>
      <c r="F66" s="284">
        <f t="shared" si="20"/>
        <v>0.11407499999999998</v>
      </c>
      <c r="G66" s="284">
        <f t="shared" si="20"/>
        <v>0.10732499999999995</v>
      </c>
      <c r="H66" s="284">
        <f t="shared" si="20"/>
        <v>0.10732499999999999</v>
      </c>
      <c r="I66" s="284">
        <f t="shared" si="20"/>
        <v>0.10732499999999995</v>
      </c>
      <c r="J66" s="284">
        <f t="shared" si="20"/>
        <v>0.10732499999999996</v>
      </c>
      <c r="K66" s="284">
        <f t="shared" si="20"/>
        <v>0.10732499999999999</v>
      </c>
      <c r="L66" s="284">
        <f t="shared" si="20"/>
        <v>0.10732499999999995</v>
      </c>
      <c r="M66" s="284">
        <f t="shared" si="20"/>
        <v>0.10732499999999995</v>
      </c>
      <c r="N66" s="284">
        <f t="shared" si="20"/>
        <v>0.10732499999999999</v>
      </c>
      <c r="O66" s="284">
        <f t="shared" si="20"/>
        <v>0.10732499999999996</v>
      </c>
      <c r="P66" s="284">
        <f t="shared" si="20"/>
        <v>0.10732499999999995</v>
      </c>
      <c r="Q66" s="284">
        <f t="shared" si="20"/>
        <v>0.10057499999999996</v>
      </c>
      <c r="R66" s="284">
        <f t="shared" si="20"/>
        <v>0.10732499999999995</v>
      </c>
      <c r="S66" s="284">
        <f t="shared" si="20"/>
        <v>0.10732499999999995</v>
      </c>
      <c r="T66" s="284">
        <f t="shared" si="20"/>
        <v>0.11407499999999997</v>
      </c>
      <c r="U66" s="284">
        <f t="shared" si="20"/>
        <v>0.10732499999999995</v>
      </c>
      <c r="V66" s="290">
        <f>SUM(B66:U66)</f>
        <v>2.1599999999999993</v>
      </c>
      <c r="W66" s="285">
        <f>V66/20</f>
        <v>0.10799999999999996</v>
      </c>
    </row>
    <row r="67" spans="1:23" ht="13.5" customHeight="1" thickBot="1">
      <c r="A67" s="4"/>
      <c r="B67" s="52"/>
      <c r="C67" s="52"/>
      <c r="D67" s="52"/>
      <c r="E67" s="52"/>
      <c r="F67" s="52"/>
      <c r="G67" s="52"/>
      <c r="H67" s="52"/>
      <c r="I67" s="52"/>
      <c r="J67" s="52"/>
      <c r="K67" s="52"/>
      <c r="L67" s="52"/>
      <c r="M67" s="52"/>
      <c r="N67" s="52"/>
      <c r="O67" s="52"/>
      <c r="P67" s="52"/>
      <c r="Q67" s="52"/>
      <c r="R67" s="52"/>
      <c r="S67" s="52"/>
      <c r="T67" s="52"/>
      <c r="U67" s="52"/>
      <c r="V67" s="182"/>
      <c r="W67" s="35"/>
    </row>
    <row r="68" spans="1:23" ht="13.5" customHeight="1">
      <c r="A68" s="257"/>
      <c r="B68" s="261"/>
      <c r="C68" s="261"/>
      <c r="D68" s="261"/>
      <c r="E68" s="261"/>
      <c r="F68" s="261"/>
      <c r="G68" s="261"/>
      <c r="H68" s="261"/>
      <c r="I68" s="261"/>
      <c r="J68" s="261"/>
      <c r="K68" s="261"/>
      <c r="L68" s="261"/>
      <c r="M68" s="261"/>
      <c r="N68" s="261"/>
      <c r="O68" s="261"/>
      <c r="P68" s="261"/>
      <c r="Q68" s="261"/>
      <c r="R68" s="261"/>
      <c r="S68" s="261"/>
      <c r="T68" s="261"/>
      <c r="U68" s="261"/>
      <c r="V68" s="291"/>
      <c r="W68" s="262"/>
    </row>
    <row r="69" spans="1:23" ht="15.75" customHeight="1">
      <c r="A69" s="263" t="s">
        <v>653</v>
      </c>
      <c r="B69" s="52"/>
      <c r="C69" s="52"/>
      <c r="D69" s="52"/>
      <c r="E69" s="52"/>
      <c r="F69" s="52"/>
      <c r="G69" s="52"/>
      <c r="H69" s="52"/>
      <c r="I69" s="52"/>
      <c r="J69" s="52"/>
      <c r="K69" s="52"/>
      <c r="L69" s="52"/>
      <c r="M69" s="52"/>
      <c r="N69" s="52"/>
      <c r="O69" s="52"/>
      <c r="P69" s="52"/>
      <c r="Q69" s="52"/>
      <c r="R69" s="52"/>
      <c r="S69" s="52"/>
      <c r="T69" s="52"/>
      <c r="U69" s="52"/>
      <c r="V69" s="292"/>
      <c r="W69" s="140"/>
    </row>
    <row r="70" spans="1:23" ht="13.5" customHeight="1">
      <c r="A70" s="100"/>
      <c r="B70" s="52"/>
      <c r="C70" s="52"/>
      <c r="D70" s="52"/>
      <c r="E70" s="52"/>
      <c r="F70" s="52"/>
      <c r="G70" s="52"/>
      <c r="H70" s="52"/>
      <c r="I70" s="52"/>
      <c r="J70" s="52"/>
      <c r="K70" s="52"/>
      <c r="L70" s="52"/>
      <c r="M70" s="52"/>
      <c r="N70" s="52"/>
      <c r="O70" s="52"/>
      <c r="P70" s="52"/>
      <c r="Q70" s="52"/>
      <c r="R70" s="52"/>
      <c r="S70" s="52"/>
      <c r="T70" s="52"/>
      <c r="U70" s="52"/>
      <c r="V70" s="292"/>
      <c r="W70" s="140"/>
    </row>
    <row r="71" spans="1:23" ht="13.5" customHeight="1">
      <c r="A71" s="197" t="s">
        <v>17</v>
      </c>
      <c r="B71" s="52"/>
      <c r="C71" s="52"/>
      <c r="D71" s="52"/>
      <c r="E71" s="52"/>
      <c r="F71" s="52"/>
      <c r="G71" s="52"/>
      <c r="H71" s="52"/>
      <c r="I71" s="52"/>
      <c r="J71" s="52"/>
      <c r="K71" s="52"/>
      <c r="L71" s="52"/>
      <c r="M71" s="52"/>
      <c r="N71" s="52"/>
      <c r="O71" s="52"/>
      <c r="P71" s="52"/>
      <c r="Q71" s="52"/>
      <c r="R71" s="52"/>
      <c r="S71" s="52"/>
      <c r="T71" s="52"/>
      <c r="U71" s="52"/>
      <c r="V71" s="288"/>
      <c r="W71" s="133"/>
    </row>
    <row r="72" spans="1:23" ht="13.5" customHeight="1">
      <c r="A72" s="10" t="s">
        <v>1170</v>
      </c>
      <c r="B72" s="52"/>
      <c r="C72" s="52"/>
      <c r="D72" s="52"/>
      <c r="E72" s="52"/>
      <c r="F72" s="52"/>
      <c r="G72" s="52"/>
      <c r="H72" s="52"/>
      <c r="I72" s="52"/>
      <c r="J72" s="52"/>
      <c r="K72" s="52"/>
      <c r="L72" s="52"/>
      <c r="M72" s="52"/>
      <c r="N72" s="52"/>
      <c r="O72" s="52"/>
      <c r="P72" s="52"/>
      <c r="Q72" s="52"/>
      <c r="R72" s="52"/>
      <c r="S72" s="52"/>
      <c r="T72" s="52"/>
      <c r="U72" s="52"/>
      <c r="V72" s="288"/>
      <c r="W72" s="133"/>
    </row>
    <row r="73" spans="1:23" ht="13.5" customHeight="1">
      <c r="A73" s="225" t="s">
        <v>1167</v>
      </c>
      <c r="B73" s="148">
        <f>('Scenario 2 Assumptions'!$D$192+'Scenario 2 Assumptions'!$D$193)*'Scenario 2 Assumptions'!$B$176</f>
        <v>1.35E-2</v>
      </c>
      <c r="C73" s="148">
        <v>0</v>
      </c>
      <c r="D73" s="148">
        <v>0</v>
      </c>
      <c r="E73" s="148">
        <f>('Scenario 2 Assumptions'!$D$192+'Scenario 2 Assumptions'!$D$193)*'Scenario 2 Assumptions'!$B$176</f>
        <v>1.35E-2</v>
      </c>
      <c r="F73" s="148">
        <v>0</v>
      </c>
      <c r="G73" s="148">
        <v>0</v>
      </c>
      <c r="H73" s="148">
        <f>('Scenario 2 Assumptions'!$D$192+'Scenario 2 Assumptions'!$D$193)*'Scenario 2 Assumptions'!$B$176</f>
        <v>1.35E-2</v>
      </c>
      <c r="I73" s="148">
        <v>0</v>
      </c>
      <c r="J73" s="148">
        <v>0</v>
      </c>
      <c r="K73" s="148">
        <f>('Scenario 2 Assumptions'!$D$192+'Scenario 2 Assumptions'!$D$193)*'Scenario 2 Assumptions'!$B$176</f>
        <v>1.35E-2</v>
      </c>
      <c r="L73" s="148">
        <v>0</v>
      </c>
      <c r="M73" s="148">
        <v>0</v>
      </c>
      <c r="N73" s="148">
        <f>('Scenario 2 Assumptions'!$D$192+'Scenario 2 Assumptions'!$D$193)*'Scenario 2 Assumptions'!$B$176</f>
        <v>1.35E-2</v>
      </c>
      <c r="O73" s="148">
        <v>0</v>
      </c>
      <c r="P73" s="148">
        <v>0</v>
      </c>
      <c r="Q73" s="148">
        <f>('Scenario 2 Assumptions'!$D$192+'Scenario 2 Assumptions'!$D$193)*'Scenario 2 Assumptions'!$B$176</f>
        <v>1.35E-2</v>
      </c>
      <c r="R73" s="148">
        <v>0</v>
      </c>
      <c r="S73" s="148">
        <v>0</v>
      </c>
      <c r="T73" s="148">
        <f>('Scenario 2 Assumptions'!$D$192+'Scenario 2 Assumptions'!$D$193)*'Scenario 2 Assumptions'!$B$176</f>
        <v>1.35E-2</v>
      </c>
      <c r="U73" s="148">
        <v>0</v>
      </c>
      <c r="V73" s="293">
        <f t="shared" ref="V73:V90" si="21">SUM(B73:U73)</f>
        <v>9.4500000000000001E-2</v>
      </c>
      <c r="W73" s="161">
        <f t="shared" ref="W73:W90" si="22">V73/20</f>
        <v>4.725E-3</v>
      </c>
    </row>
    <row r="74" spans="1:23" ht="13.5" customHeight="1">
      <c r="A74" s="225" t="s">
        <v>990</v>
      </c>
      <c r="B74" s="148">
        <f>('Scenario 2 Assumptions'!$D$210+'Scenario 2 Assumptions'!$D$211)*'Scenario 2 Assumptions'!$B$176</f>
        <v>1.35E-2</v>
      </c>
      <c r="C74" s="148">
        <v>0</v>
      </c>
      <c r="D74" s="148">
        <v>0</v>
      </c>
      <c r="E74" s="148">
        <f>('Scenario 2 Assumptions'!$D$210+'Scenario 2 Assumptions'!$D$211)*'Scenario 2 Assumptions'!$B$176</f>
        <v>1.35E-2</v>
      </c>
      <c r="F74" s="148">
        <v>0</v>
      </c>
      <c r="G74" s="148">
        <v>0</v>
      </c>
      <c r="H74" s="148">
        <f>('Scenario 2 Assumptions'!$D$210+'Scenario 2 Assumptions'!$D$211)*'Scenario 2 Assumptions'!$B$176</f>
        <v>1.35E-2</v>
      </c>
      <c r="I74" s="148">
        <v>0</v>
      </c>
      <c r="J74" s="148">
        <v>0</v>
      </c>
      <c r="K74" s="148">
        <f>('Scenario 2 Assumptions'!$D$210+'Scenario 2 Assumptions'!$D$211)*'Scenario 2 Assumptions'!$B$176</f>
        <v>1.35E-2</v>
      </c>
      <c r="L74" s="148">
        <v>0</v>
      </c>
      <c r="M74" s="148">
        <v>0</v>
      </c>
      <c r="N74" s="148">
        <f>('Scenario 2 Assumptions'!$D$210+'Scenario 2 Assumptions'!$D$211)*'Scenario 2 Assumptions'!$B$176</f>
        <v>1.35E-2</v>
      </c>
      <c r="O74" s="148">
        <v>0</v>
      </c>
      <c r="P74" s="148">
        <v>0</v>
      </c>
      <c r="Q74" s="148">
        <f>('Scenario 2 Assumptions'!$D$210+'Scenario 2 Assumptions'!$D$211)*'Scenario 2 Assumptions'!$B$176</f>
        <v>1.35E-2</v>
      </c>
      <c r="R74" s="148">
        <v>0</v>
      </c>
      <c r="S74" s="148">
        <v>0</v>
      </c>
      <c r="T74" s="148">
        <f>('Scenario 2 Assumptions'!$D$210+'Scenario 2 Assumptions'!$D$211)*'Scenario 2 Assumptions'!$B$176</f>
        <v>1.35E-2</v>
      </c>
      <c r="U74" s="148">
        <v>0</v>
      </c>
      <c r="V74" s="293">
        <f t="shared" si="21"/>
        <v>9.4500000000000001E-2</v>
      </c>
      <c r="W74" s="161">
        <f t="shared" si="22"/>
        <v>4.725E-3</v>
      </c>
    </row>
    <row r="75" spans="1:23" ht="13.5" customHeight="1">
      <c r="A75" s="225" t="s">
        <v>991</v>
      </c>
      <c r="B75" s="148">
        <f>('Scenario 2 Assumptions'!$D$190)*'Scenario 2 Assumptions'!$B$176</f>
        <v>6.7499999999999999E-3</v>
      </c>
      <c r="C75" s="148">
        <v>0</v>
      </c>
      <c r="D75" s="148">
        <v>0</v>
      </c>
      <c r="E75" s="148">
        <f>('Scenario 2 Assumptions'!$D$190)*'Scenario 2 Assumptions'!$B$176</f>
        <v>6.7499999999999999E-3</v>
      </c>
      <c r="F75" s="148">
        <v>0</v>
      </c>
      <c r="G75" s="148">
        <v>0</v>
      </c>
      <c r="H75" s="148">
        <f>('Scenario 2 Assumptions'!$D$190)*'Scenario 2 Assumptions'!$B$176</f>
        <v>6.7499999999999999E-3</v>
      </c>
      <c r="I75" s="148">
        <v>0</v>
      </c>
      <c r="J75" s="148">
        <v>0</v>
      </c>
      <c r="K75" s="148">
        <f>('Scenario 2 Assumptions'!$D$190)*'Scenario 2 Assumptions'!$B$176</f>
        <v>6.7499999999999999E-3</v>
      </c>
      <c r="L75" s="148">
        <v>0</v>
      </c>
      <c r="M75" s="148">
        <v>0</v>
      </c>
      <c r="N75" s="148">
        <f>('Scenario 2 Assumptions'!$D$190)*'Scenario 2 Assumptions'!$B$176</f>
        <v>6.7499999999999999E-3</v>
      </c>
      <c r="O75" s="148">
        <v>0</v>
      </c>
      <c r="P75" s="148">
        <v>0</v>
      </c>
      <c r="Q75" s="148">
        <f>('Scenario 2 Assumptions'!$D$190)*'Scenario 2 Assumptions'!$B$176</f>
        <v>6.7499999999999999E-3</v>
      </c>
      <c r="R75" s="148">
        <v>0</v>
      </c>
      <c r="S75" s="148">
        <v>0</v>
      </c>
      <c r="T75" s="148">
        <f>('Scenario 2 Assumptions'!$D$190)*'Scenario 2 Assumptions'!$B$176</f>
        <v>6.7499999999999999E-3</v>
      </c>
      <c r="U75" s="148">
        <v>0</v>
      </c>
      <c r="V75" s="293">
        <f t="shared" si="21"/>
        <v>4.725E-2</v>
      </c>
      <c r="W75" s="161">
        <f t="shared" si="22"/>
        <v>2.3625E-3</v>
      </c>
    </row>
    <row r="76" spans="1:23" ht="13.5" customHeight="1">
      <c r="A76" s="225" t="s">
        <v>992</v>
      </c>
      <c r="B76" s="148">
        <f>('Scenario 2 Assumptions'!$D$191)*'Scenario 2 Assumptions'!$B$176</f>
        <v>6.7499999999999999E-3</v>
      </c>
      <c r="C76" s="148">
        <v>0</v>
      </c>
      <c r="D76" s="148">
        <v>0</v>
      </c>
      <c r="E76" s="148">
        <f>('Scenario 2 Assumptions'!$D$191)*'Scenario 2 Assumptions'!$B$176</f>
        <v>6.7499999999999999E-3</v>
      </c>
      <c r="F76" s="148">
        <v>0</v>
      </c>
      <c r="G76" s="148">
        <v>0</v>
      </c>
      <c r="H76" s="148">
        <f>('Scenario 2 Assumptions'!$D$191)*'Scenario 2 Assumptions'!$B$176</f>
        <v>6.7499999999999999E-3</v>
      </c>
      <c r="I76" s="148">
        <v>0</v>
      </c>
      <c r="J76" s="148">
        <v>0</v>
      </c>
      <c r="K76" s="148">
        <f>('Scenario 2 Assumptions'!$D$191)*'Scenario 2 Assumptions'!$B$176</f>
        <v>6.7499999999999999E-3</v>
      </c>
      <c r="L76" s="148">
        <v>0</v>
      </c>
      <c r="M76" s="148">
        <v>0</v>
      </c>
      <c r="N76" s="148">
        <f>('Scenario 2 Assumptions'!$D$191)*'Scenario 2 Assumptions'!$B$176</f>
        <v>6.7499999999999999E-3</v>
      </c>
      <c r="O76" s="148">
        <v>0</v>
      </c>
      <c r="P76" s="148">
        <v>0</v>
      </c>
      <c r="Q76" s="148">
        <f>('Scenario 2 Assumptions'!$D$191)*'Scenario 2 Assumptions'!$B$176</f>
        <v>6.7499999999999999E-3</v>
      </c>
      <c r="R76" s="148">
        <v>0</v>
      </c>
      <c r="S76" s="148">
        <v>0</v>
      </c>
      <c r="T76" s="148">
        <f>('Scenario 2 Assumptions'!$D$191)*'Scenario 2 Assumptions'!$B$176</f>
        <v>6.7499999999999999E-3</v>
      </c>
      <c r="U76" s="148">
        <v>0</v>
      </c>
      <c r="V76" s="293">
        <f t="shared" si="21"/>
        <v>4.725E-2</v>
      </c>
      <c r="W76" s="161">
        <f t="shared" si="22"/>
        <v>2.3625E-3</v>
      </c>
    </row>
    <row r="77" spans="1:23" ht="13.5" customHeight="1">
      <c r="A77" s="225" t="s">
        <v>1083</v>
      </c>
      <c r="B77" s="148">
        <f>('Scenario 2 Assumptions'!$D$194+'Scenario 2 Assumptions'!$D$195)*'Scenario 2 Assumptions'!$B$176</f>
        <v>1.35E-2</v>
      </c>
      <c r="C77" s="148">
        <v>0</v>
      </c>
      <c r="D77" s="148">
        <v>0</v>
      </c>
      <c r="E77" s="148">
        <f>('Scenario 2 Assumptions'!$D$194+'Scenario 2 Assumptions'!$D$195)*'Scenario 2 Assumptions'!$B$176</f>
        <v>1.35E-2</v>
      </c>
      <c r="F77" s="148">
        <v>0</v>
      </c>
      <c r="G77" s="148">
        <v>0</v>
      </c>
      <c r="H77" s="148">
        <f>('Scenario 2 Assumptions'!$D$194+'Scenario 2 Assumptions'!$D$195)*'Scenario 2 Assumptions'!$B$176</f>
        <v>1.35E-2</v>
      </c>
      <c r="I77" s="148">
        <v>0</v>
      </c>
      <c r="J77" s="148">
        <v>0</v>
      </c>
      <c r="K77" s="148">
        <f>('Scenario 2 Assumptions'!$D$194+'Scenario 2 Assumptions'!$D$195)*'Scenario 2 Assumptions'!$B$176</f>
        <v>1.35E-2</v>
      </c>
      <c r="L77" s="148">
        <v>0</v>
      </c>
      <c r="M77" s="148">
        <v>0</v>
      </c>
      <c r="N77" s="148">
        <f>('Scenario 2 Assumptions'!$D$194+'Scenario 2 Assumptions'!$D$195)*'Scenario 2 Assumptions'!$B$176</f>
        <v>1.35E-2</v>
      </c>
      <c r="O77" s="148">
        <v>0</v>
      </c>
      <c r="P77" s="148">
        <v>0</v>
      </c>
      <c r="Q77" s="148">
        <f>('Scenario 2 Assumptions'!$D$194+'Scenario 2 Assumptions'!$D$195)*'Scenario 2 Assumptions'!$B$176</f>
        <v>1.35E-2</v>
      </c>
      <c r="R77" s="148">
        <v>0</v>
      </c>
      <c r="S77" s="148">
        <v>0</v>
      </c>
      <c r="T77" s="148">
        <f>('Scenario 2 Assumptions'!$D$194+'Scenario 2 Assumptions'!$D$195)*'Scenario 2 Assumptions'!$B$176</f>
        <v>1.35E-2</v>
      </c>
      <c r="U77" s="148">
        <v>0</v>
      </c>
      <c r="V77" s="293">
        <f t="shared" si="21"/>
        <v>9.4500000000000001E-2</v>
      </c>
      <c r="W77" s="161">
        <f t="shared" si="22"/>
        <v>4.725E-3</v>
      </c>
    </row>
    <row r="78" spans="1:23" ht="13.5" customHeight="1">
      <c r="A78" s="225" t="s">
        <v>995</v>
      </c>
      <c r="B78" s="148">
        <f>('Scenario 2 Assumptions'!$D$197+'Scenario 2 Assumptions'!$D$198)*'Scenario 2 Assumptions'!$B$176</f>
        <v>1.35E-2</v>
      </c>
      <c r="C78" s="148">
        <v>0</v>
      </c>
      <c r="D78" s="148">
        <v>0</v>
      </c>
      <c r="E78" s="148">
        <f>('Scenario 2 Assumptions'!$D$197+'Scenario 2 Assumptions'!$D$198)*'Scenario 2 Assumptions'!$B$176</f>
        <v>1.35E-2</v>
      </c>
      <c r="F78" s="148">
        <v>0</v>
      </c>
      <c r="G78" s="148">
        <v>0</v>
      </c>
      <c r="H78" s="148">
        <f>('Scenario 2 Assumptions'!$D$197+'Scenario 2 Assumptions'!$D$198)*'Scenario 2 Assumptions'!$B$176</f>
        <v>1.35E-2</v>
      </c>
      <c r="I78" s="148">
        <v>0</v>
      </c>
      <c r="J78" s="148">
        <v>0</v>
      </c>
      <c r="K78" s="148">
        <f>('Scenario 2 Assumptions'!$D$197+'Scenario 2 Assumptions'!$D$198)*'Scenario 2 Assumptions'!$B$176</f>
        <v>1.35E-2</v>
      </c>
      <c r="L78" s="148">
        <v>0</v>
      </c>
      <c r="M78" s="148">
        <v>0</v>
      </c>
      <c r="N78" s="148">
        <f>('Scenario 2 Assumptions'!$D$197+'Scenario 2 Assumptions'!$D$198)*'Scenario 2 Assumptions'!$B$176</f>
        <v>1.35E-2</v>
      </c>
      <c r="O78" s="148">
        <v>0</v>
      </c>
      <c r="P78" s="148">
        <v>0</v>
      </c>
      <c r="Q78" s="148">
        <f>('Scenario 2 Assumptions'!$D$197+'Scenario 2 Assumptions'!$D$198)*'Scenario 2 Assumptions'!$B$176</f>
        <v>1.35E-2</v>
      </c>
      <c r="R78" s="148">
        <v>0</v>
      </c>
      <c r="S78" s="148">
        <v>0</v>
      </c>
      <c r="T78" s="148">
        <f>('Scenario 2 Assumptions'!$D$197+'Scenario 2 Assumptions'!$D$198)*'Scenario 2 Assumptions'!$B$176</f>
        <v>1.35E-2</v>
      </c>
      <c r="U78" s="148">
        <v>0</v>
      </c>
      <c r="V78" s="293">
        <f t="shared" si="21"/>
        <v>9.4500000000000001E-2</v>
      </c>
      <c r="W78" s="161">
        <f t="shared" si="22"/>
        <v>4.725E-3</v>
      </c>
    </row>
    <row r="79" spans="1:23" ht="13.5" customHeight="1">
      <c r="A79" s="225" t="s">
        <v>996</v>
      </c>
      <c r="B79" s="148">
        <f>('Scenario 2 Assumptions'!$D$196)*'Scenario 2 Assumptions'!$B$176</f>
        <v>6.7499999999999999E-3</v>
      </c>
      <c r="C79" s="148">
        <v>0</v>
      </c>
      <c r="D79" s="148">
        <v>0</v>
      </c>
      <c r="E79" s="148">
        <f>('Scenario 2 Assumptions'!$D$196)*'Scenario 2 Assumptions'!$B$176</f>
        <v>6.7499999999999999E-3</v>
      </c>
      <c r="F79" s="148">
        <v>0</v>
      </c>
      <c r="G79" s="148">
        <v>0</v>
      </c>
      <c r="H79" s="148">
        <f>('Scenario 2 Assumptions'!$D$196)*'Scenario 2 Assumptions'!$B$176</f>
        <v>6.7499999999999999E-3</v>
      </c>
      <c r="I79" s="148">
        <v>0</v>
      </c>
      <c r="J79" s="148">
        <v>0</v>
      </c>
      <c r="K79" s="148">
        <f>('Scenario 2 Assumptions'!$D$196)*'Scenario 2 Assumptions'!$B$176</f>
        <v>6.7499999999999999E-3</v>
      </c>
      <c r="L79" s="148">
        <v>0</v>
      </c>
      <c r="M79" s="148">
        <v>0</v>
      </c>
      <c r="N79" s="148">
        <f>('Scenario 2 Assumptions'!$D$196)*'Scenario 2 Assumptions'!$B$176</f>
        <v>6.7499999999999999E-3</v>
      </c>
      <c r="O79" s="148">
        <v>0</v>
      </c>
      <c r="P79" s="148">
        <v>0</v>
      </c>
      <c r="Q79" s="148">
        <f>('Scenario 2 Assumptions'!$D$196)*'Scenario 2 Assumptions'!$B$176</f>
        <v>6.7499999999999999E-3</v>
      </c>
      <c r="R79" s="148">
        <v>0</v>
      </c>
      <c r="S79" s="148">
        <v>0</v>
      </c>
      <c r="T79" s="148">
        <f>('Scenario 2 Assumptions'!$D$196)*'Scenario 2 Assumptions'!$B$176</f>
        <v>6.7499999999999999E-3</v>
      </c>
      <c r="U79" s="148">
        <v>0</v>
      </c>
      <c r="V79" s="293">
        <f t="shared" si="21"/>
        <v>4.725E-2</v>
      </c>
      <c r="W79" s="161">
        <f t="shared" si="22"/>
        <v>2.3625E-3</v>
      </c>
    </row>
    <row r="80" spans="1:23" ht="13.5" customHeight="1">
      <c r="A80" s="225" t="s">
        <v>1168</v>
      </c>
      <c r="B80" s="148">
        <f>('Scenario 2 Assumptions'!$D$199)*'Scenario 2 Assumptions'!$B$176</f>
        <v>6.7499999999999999E-3</v>
      </c>
      <c r="C80" s="148">
        <v>0</v>
      </c>
      <c r="D80" s="148">
        <v>0</v>
      </c>
      <c r="E80" s="148">
        <f>('Scenario 2 Assumptions'!$D$199)*'Scenario 2 Assumptions'!$B$176</f>
        <v>6.7499999999999999E-3</v>
      </c>
      <c r="F80" s="148">
        <v>0</v>
      </c>
      <c r="G80" s="148">
        <v>0</v>
      </c>
      <c r="H80" s="148">
        <f>('Scenario 2 Assumptions'!$D$199)*'Scenario 2 Assumptions'!$B$176</f>
        <v>6.7499999999999999E-3</v>
      </c>
      <c r="I80" s="148">
        <v>0</v>
      </c>
      <c r="J80" s="148">
        <v>0</v>
      </c>
      <c r="K80" s="148">
        <f>('Scenario 2 Assumptions'!$D$199)*'Scenario 2 Assumptions'!$B$176</f>
        <v>6.7499999999999999E-3</v>
      </c>
      <c r="L80" s="148">
        <v>0</v>
      </c>
      <c r="M80" s="148">
        <v>0</v>
      </c>
      <c r="N80" s="148">
        <f>('Scenario 2 Assumptions'!$D$199)*'Scenario 2 Assumptions'!$B$176</f>
        <v>6.7499999999999999E-3</v>
      </c>
      <c r="O80" s="148">
        <v>0</v>
      </c>
      <c r="P80" s="148">
        <v>0</v>
      </c>
      <c r="Q80" s="148">
        <f>('Scenario 2 Assumptions'!$D$199)*'Scenario 2 Assumptions'!$B$176</f>
        <v>6.7499999999999999E-3</v>
      </c>
      <c r="R80" s="148">
        <v>0</v>
      </c>
      <c r="S80" s="148">
        <v>0</v>
      </c>
      <c r="T80" s="148">
        <f>('Scenario 2 Assumptions'!$D$199)*'Scenario 2 Assumptions'!$B$176</f>
        <v>6.7499999999999999E-3</v>
      </c>
      <c r="U80" s="148">
        <v>0</v>
      </c>
      <c r="V80" s="293">
        <f t="shared" si="21"/>
        <v>4.725E-2</v>
      </c>
      <c r="W80" s="161">
        <f t="shared" si="22"/>
        <v>2.3625E-3</v>
      </c>
    </row>
    <row r="81" spans="1:23" ht="13.5" customHeight="1">
      <c r="A81" s="225" t="s">
        <v>1169</v>
      </c>
      <c r="B81" s="148">
        <f>('Scenario 2 Assumptions'!$D$201)*'Scenario 2 Assumptions'!$B$176</f>
        <v>6.7499999999999999E-3</v>
      </c>
      <c r="C81" s="148">
        <v>0</v>
      </c>
      <c r="D81" s="148">
        <v>0</v>
      </c>
      <c r="E81" s="148">
        <f>('Scenario 2 Assumptions'!$D$201)*'Scenario 2 Assumptions'!$B$176</f>
        <v>6.7499999999999999E-3</v>
      </c>
      <c r="F81" s="148">
        <v>0</v>
      </c>
      <c r="G81" s="148">
        <v>0</v>
      </c>
      <c r="H81" s="148">
        <f>('Scenario 2 Assumptions'!$D$201)*'Scenario 2 Assumptions'!$B$176</f>
        <v>6.7499999999999999E-3</v>
      </c>
      <c r="I81" s="148">
        <v>0</v>
      </c>
      <c r="J81" s="148">
        <v>0</v>
      </c>
      <c r="K81" s="148">
        <f>('Scenario 2 Assumptions'!$D$201)*'Scenario 2 Assumptions'!$B$176</f>
        <v>6.7499999999999999E-3</v>
      </c>
      <c r="L81" s="148">
        <v>0</v>
      </c>
      <c r="M81" s="148">
        <v>0</v>
      </c>
      <c r="N81" s="148">
        <f>('Scenario 2 Assumptions'!$D$201)*'Scenario 2 Assumptions'!$B$176</f>
        <v>6.7499999999999999E-3</v>
      </c>
      <c r="O81" s="148">
        <v>0</v>
      </c>
      <c r="P81" s="148">
        <v>0</v>
      </c>
      <c r="Q81" s="148">
        <f>('Scenario 2 Assumptions'!$D$201)*'Scenario 2 Assumptions'!$B$176</f>
        <v>6.7499999999999999E-3</v>
      </c>
      <c r="R81" s="148">
        <v>0</v>
      </c>
      <c r="S81" s="148">
        <v>0</v>
      </c>
      <c r="T81" s="148">
        <f>('Scenario 2 Assumptions'!$D$201)*'Scenario 2 Assumptions'!$B$176</f>
        <v>6.7499999999999999E-3</v>
      </c>
      <c r="U81" s="148">
        <v>0</v>
      </c>
      <c r="V81" s="293">
        <f t="shared" si="21"/>
        <v>4.725E-2</v>
      </c>
      <c r="W81" s="161">
        <f t="shared" si="22"/>
        <v>2.3625E-3</v>
      </c>
    </row>
    <row r="82" spans="1:23" ht="13.5" customHeight="1">
      <c r="A82" s="225" t="s">
        <v>1074</v>
      </c>
      <c r="B82" s="148">
        <f>('Scenario 2 Assumptions'!$D$200)*'Scenario 2 Assumptions'!$B$176</f>
        <v>6.7499999999999999E-3</v>
      </c>
      <c r="C82" s="148">
        <v>0</v>
      </c>
      <c r="D82" s="148">
        <v>0</v>
      </c>
      <c r="E82" s="148">
        <f>('Scenario 2 Assumptions'!$D$200)*'Scenario 2 Assumptions'!$B$176</f>
        <v>6.7499999999999999E-3</v>
      </c>
      <c r="F82" s="148">
        <v>0</v>
      </c>
      <c r="G82" s="148">
        <v>0</v>
      </c>
      <c r="H82" s="148">
        <f>('Scenario 2 Assumptions'!$D$200)*'Scenario 2 Assumptions'!$B$176</f>
        <v>6.7499999999999999E-3</v>
      </c>
      <c r="I82" s="148">
        <v>0</v>
      </c>
      <c r="J82" s="148">
        <v>0</v>
      </c>
      <c r="K82" s="148">
        <f>('Scenario 2 Assumptions'!$D$200)*'Scenario 2 Assumptions'!$B$176</f>
        <v>6.7499999999999999E-3</v>
      </c>
      <c r="L82" s="148">
        <v>0</v>
      </c>
      <c r="M82" s="148">
        <v>0</v>
      </c>
      <c r="N82" s="148">
        <f>('Scenario 2 Assumptions'!$D$200)*'Scenario 2 Assumptions'!$B$176</f>
        <v>6.7499999999999999E-3</v>
      </c>
      <c r="O82" s="148">
        <v>0</v>
      </c>
      <c r="P82" s="148">
        <v>0</v>
      </c>
      <c r="Q82" s="148">
        <f>('Scenario 2 Assumptions'!$D$200)*'Scenario 2 Assumptions'!$B$176</f>
        <v>6.7499999999999999E-3</v>
      </c>
      <c r="R82" s="148">
        <v>0</v>
      </c>
      <c r="S82" s="148">
        <v>0</v>
      </c>
      <c r="T82" s="148">
        <f>('Scenario 2 Assumptions'!$D$200)*'Scenario 2 Assumptions'!$B$176</f>
        <v>6.7499999999999999E-3</v>
      </c>
      <c r="U82" s="148">
        <v>0</v>
      </c>
      <c r="V82" s="293">
        <f t="shared" si="21"/>
        <v>4.725E-2</v>
      </c>
      <c r="W82" s="161">
        <f t="shared" si="22"/>
        <v>2.3625E-3</v>
      </c>
    </row>
    <row r="83" spans="1:23" ht="13.5" customHeight="1">
      <c r="A83" s="225" t="s">
        <v>1001</v>
      </c>
      <c r="B83" s="148">
        <f>('Scenario 2 Assumptions'!$D$202+'Scenario 2 Assumptions'!$D$203)*'Scenario 2 Assumptions'!$B$176</f>
        <v>1.35E-2</v>
      </c>
      <c r="C83" s="148">
        <v>0</v>
      </c>
      <c r="D83" s="148">
        <v>0</v>
      </c>
      <c r="E83" s="148">
        <f>('Scenario 2 Assumptions'!$D$202+'Scenario 2 Assumptions'!$D$203)*'Scenario 2 Assumptions'!$B$176</f>
        <v>1.35E-2</v>
      </c>
      <c r="F83" s="148">
        <v>0</v>
      </c>
      <c r="G83" s="148">
        <v>0</v>
      </c>
      <c r="H83" s="148">
        <f>('Scenario 2 Assumptions'!$D$202+'Scenario 2 Assumptions'!$D$203)*'Scenario 2 Assumptions'!$B$176</f>
        <v>1.35E-2</v>
      </c>
      <c r="I83" s="148">
        <v>0</v>
      </c>
      <c r="J83" s="148">
        <v>0</v>
      </c>
      <c r="K83" s="148">
        <f>('Scenario 2 Assumptions'!$D$202+'Scenario 2 Assumptions'!$D$203)*'Scenario 2 Assumptions'!$B$176</f>
        <v>1.35E-2</v>
      </c>
      <c r="L83" s="148">
        <v>0</v>
      </c>
      <c r="M83" s="148">
        <v>0</v>
      </c>
      <c r="N83" s="148">
        <f>('Scenario 2 Assumptions'!$D$202+'Scenario 2 Assumptions'!$D$203)*'Scenario 2 Assumptions'!$B$176</f>
        <v>1.35E-2</v>
      </c>
      <c r="O83" s="148">
        <v>0</v>
      </c>
      <c r="P83" s="148">
        <v>0</v>
      </c>
      <c r="Q83" s="148">
        <f>('Scenario 2 Assumptions'!$D$202+'Scenario 2 Assumptions'!$D$203)*'Scenario 2 Assumptions'!$B$176</f>
        <v>1.35E-2</v>
      </c>
      <c r="R83" s="148">
        <v>0</v>
      </c>
      <c r="S83" s="148">
        <v>0</v>
      </c>
      <c r="T83" s="148">
        <f>('Scenario 2 Assumptions'!$D$202+'Scenario 2 Assumptions'!$D$203)*'Scenario 2 Assumptions'!$B$176</f>
        <v>1.35E-2</v>
      </c>
      <c r="U83" s="148">
        <v>0</v>
      </c>
      <c r="V83" s="293">
        <f t="shared" si="21"/>
        <v>9.4500000000000001E-2</v>
      </c>
      <c r="W83" s="161">
        <f t="shared" si="22"/>
        <v>4.725E-3</v>
      </c>
    </row>
    <row r="84" spans="1:23" ht="13.5" customHeight="1">
      <c r="A84" s="225" t="s">
        <v>1002</v>
      </c>
      <c r="B84" s="148">
        <f>('Scenario 2 Assumptions'!$D$204+'Scenario 2 Assumptions'!$D$205)*'Scenario 2 Assumptions'!$B$176</f>
        <v>1.35E-2</v>
      </c>
      <c r="C84" s="148">
        <v>0</v>
      </c>
      <c r="D84" s="148">
        <v>0</v>
      </c>
      <c r="E84" s="148">
        <f>('Scenario 2 Assumptions'!$D$204+'Scenario 2 Assumptions'!$D$205)*'Scenario 2 Assumptions'!$B$176</f>
        <v>1.35E-2</v>
      </c>
      <c r="F84" s="148">
        <v>0</v>
      </c>
      <c r="G84" s="148">
        <v>0</v>
      </c>
      <c r="H84" s="148">
        <f>('Scenario 2 Assumptions'!$D$204+'Scenario 2 Assumptions'!$D$205)*'Scenario 2 Assumptions'!$B$176</f>
        <v>1.35E-2</v>
      </c>
      <c r="I84" s="148">
        <v>0</v>
      </c>
      <c r="J84" s="148">
        <v>0</v>
      </c>
      <c r="K84" s="148">
        <f>('Scenario 2 Assumptions'!$D$204+'Scenario 2 Assumptions'!$D$205)*'Scenario 2 Assumptions'!$B$176</f>
        <v>1.35E-2</v>
      </c>
      <c r="L84" s="148">
        <v>0</v>
      </c>
      <c r="M84" s="148">
        <v>0</v>
      </c>
      <c r="N84" s="148">
        <f>('Scenario 2 Assumptions'!$D$204+'Scenario 2 Assumptions'!$D$205)*'Scenario 2 Assumptions'!$B$176</f>
        <v>1.35E-2</v>
      </c>
      <c r="O84" s="148">
        <v>0</v>
      </c>
      <c r="P84" s="148">
        <v>0</v>
      </c>
      <c r="Q84" s="148">
        <f>('Scenario 2 Assumptions'!$D$204+'Scenario 2 Assumptions'!$D$205)*'Scenario 2 Assumptions'!$B$176</f>
        <v>1.35E-2</v>
      </c>
      <c r="R84" s="148">
        <v>0</v>
      </c>
      <c r="S84" s="148">
        <v>0</v>
      </c>
      <c r="T84" s="148">
        <f>('Scenario 2 Assumptions'!$D$204+'Scenario 2 Assumptions'!$D$205)*'Scenario 2 Assumptions'!$B$176</f>
        <v>1.35E-2</v>
      </c>
      <c r="U84" s="148">
        <v>0</v>
      </c>
      <c r="V84" s="293">
        <f t="shared" si="21"/>
        <v>9.4500000000000001E-2</v>
      </c>
      <c r="W84" s="161">
        <f t="shared" si="22"/>
        <v>4.725E-3</v>
      </c>
    </row>
    <row r="85" spans="1:23" ht="13.5" customHeight="1">
      <c r="A85" s="225" t="s">
        <v>1003</v>
      </c>
      <c r="B85" s="148">
        <f>('Scenario 2 Assumptions'!$D$206)*'Scenario 2 Assumptions'!$B$176</f>
        <v>6.7499999999999999E-3</v>
      </c>
      <c r="C85" s="148">
        <v>0</v>
      </c>
      <c r="D85" s="148">
        <v>0</v>
      </c>
      <c r="E85" s="148">
        <f>('Scenario 2 Assumptions'!$D$206)*'Scenario 2 Assumptions'!$B$176</f>
        <v>6.7499999999999999E-3</v>
      </c>
      <c r="F85" s="148">
        <v>0</v>
      </c>
      <c r="G85" s="148">
        <v>0</v>
      </c>
      <c r="H85" s="148">
        <f>('Scenario 2 Assumptions'!$D$206)*'Scenario 2 Assumptions'!$B$176</f>
        <v>6.7499999999999999E-3</v>
      </c>
      <c r="I85" s="148">
        <v>0</v>
      </c>
      <c r="J85" s="148">
        <v>0</v>
      </c>
      <c r="K85" s="148">
        <f>('Scenario 2 Assumptions'!$D$206)*'Scenario 2 Assumptions'!$B$176</f>
        <v>6.7499999999999999E-3</v>
      </c>
      <c r="L85" s="148">
        <v>0</v>
      </c>
      <c r="M85" s="148">
        <v>0</v>
      </c>
      <c r="N85" s="148">
        <f>('Scenario 2 Assumptions'!$D$206)*'Scenario 2 Assumptions'!$B$176</f>
        <v>6.7499999999999999E-3</v>
      </c>
      <c r="O85" s="148">
        <v>0</v>
      </c>
      <c r="P85" s="148">
        <v>0</v>
      </c>
      <c r="Q85" s="148">
        <f>('Scenario 2 Assumptions'!$D$206)*'Scenario 2 Assumptions'!$B$176</f>
        <v>6.7499999999999999E-3</v>
      </c>
      <c r="R85" s="148">
        <v>0</v>
      </c>
      <c r="S85" s="148">
        <v>0</v>
      </c>
      <c r="T85" s="148">
        <f>('Scenario 2 Assumptions'!$D$206)*'Scenario 2 Assumptions'!$B$176</f>
        <v>6.7499999999999999E-3</v>
      </c>
      <c r="U85" s="148">
        <v>0</v>
      </c>
      <c r="V85" s="293">
        <f t="shared" si="21"/>
        <v>4.725E-2</v>
      </c>
      <c r="W85" s="161">
        <f t="shared" si="22"/>
        <v>2.3625E-3</v>
      </c>
    </row>
    <row r="86" spans="1:23" ht="13.5" customHeight="1">
      <c r="A86" s="225" t="s">
        <v>1004</v>
      </c>
      <c r="B86" s="148">
        <f>('Scenario 2 Assumptions'!$D$207+'Scenario 2 Assumptions'!$D$208)*'Scenario 2 Assumptions'!$B$176</f>
        <v>1.35E-2</v>
      </c>
      <c r="C86" s="148">
        <v>0</v>
      </c>
      <c r="D86" s="148">
        <v>0</v>
      </c>
      <c r="E86" s="148">
        <f>('Scenario 2 Assumptions'!$D$207+'Scenario 2 Assumptions'!$D$208)*'Scenario 2 Assumptions'!$B$176</f>
        <v>1.35E-2</v>
      </c>
      <c r="F86" s="148">
        <v>0</v>
      </c>
      <c r="G86" s="148">
        <v>0</v>
      </c>
      <c r="H86" s="148">
        <f>('Scenario 2 Assumptions'!$D$207+'Scenario 2 Assumptions'!$D$208)*'Scenario 2 Assumptions'!$B$176</f>
        <v>1.35E-2</v>
      </c>
      <c r="I86" s="148">
        <v>0</v>
      </c>
      <c r="J86" s="148">
        <v>0</v>
      </c>
      <c r="K86" s="148">
        <f>('Scenario 2 Assumptions'!$D$207+'Scenario 2 Assumptions'!$D$208)*'Scenario 2 Assumptions'!$B$176</f>
        <v>1.35E-2</v>
      </c>
      <c r="L86" s="148">
        <v>0</v>
      </c>
      <c r="M86" s="148">
        <v>0</v>
      </c>
      <c r="N86" s="148">
        <f>('Scenario 2 Assumptions'!$D$207+'Scenario 2 Assumptions'!$D$208)*'Scenario 2 Assumptions'!$B$176</f>
        <v>1.35E-2</v>
      </c>
      <c r="O86" s="148">
        <v>0</v>
      </c>
      <c r="P86" s="148">
        <v>0</v>
      </c>
      <c r="Q86" s="148">
        <f>('Scenario 2 Assumptions'!$D$207+'Scenario 2 Assumptions'!$D$208)*'Scenario 2 Assumptions'!$B$176</f>
        <v>1.35E-2</v>
      </c>
      <c r="R86" s="148">
        <v>0</v>
      </c>
      <c r="S86" s="148">
        <v>0</v>
      </c>
      <c r="T86" s="148">
        <f>('Scenario 2 Assumptions'!$D$207+'Scenario 2 Assumptions'!$D$208)*'Scenario 2 Assumptions'!$B$176</f>
        <v>1.35E-2</v>
      </c>
      <c r="U86" s="148">
        <v>0</v>
      </c>
      <c r="V86" s="293">
        <f t="shared" si="21"/>
        <v>9.4500000000000001E-2</v>
      </c>
      <c r="W86" s="161">
        <f t="shared" si="22"/>
        <v>4.725E-3</v>
      </c>
    </row>
    <row r="87" spans="1:23" ht="13.5" customHeight="1">
      <c r="A87" s="225" t="s">
        <v>1006</v>
      </c>
      <c r="B87" s="148">
        <f>('Scenario 2 Assumptions'!$D$209)*'Scenario 2 Assumptions'!$B$176</f>
        <v>6.7499999999999999E-3</v>
      </c>
      <c r="C87" s="148">
        <v>0</v>
      </c>
      <c r="D87" s="148">
        <v>0</v>
      </c>
      <c r="E87" s="148">
        <f>('Scenario 2 Assumptions'!$D$209)*'Scenario 2 Assumptions'!$B$176</f>
        <v>6.7499999999999999E-3</v>
      </c>
      <c r="F87" s="148">
        <v>0</v>
      </c>
      <c r="G87" s="148">
        <v>0</v>
      </c>
      <c r="H87" s="148">
        <f>('Scenario 2 Assumptions'!$D$209)*'Scenario 2 Assumptions'!$B$176</f>
        <v>6.7499999999999999E-3</v>
      </c>
      <c r="I87" s="148">
        <v>0</v>
      </c>
      <c r="J87" s="148">
        <v>0</v>
      </c>
      <c r="K87" s="148">
        <f>('Scenario 2 Assumptions'!$D$209)*'Scenario 2 Assumptions'!$B$176</f>
        <v>6.7499999999999999E-3</v>
      </c>
      <c r="L87" s="148">
        <v>0</v>
      </c>
      <c r="M87" s="148">
        <v>0</v>
      </c>
      <c r="N87" s="148">
        <f>('Scenario 2 Assumptions'!$D$209)*'Scenario 2 Assumptions'!$B$176</f>
        <v>6.7499999999999999E-3</v>
      </c>
      <c r="O87" s="148">
        <v>0</v>
      </c>
      <c r="P87" s="148">
        <v>0</v>
      </c>
      <c r="Q87" s="148">
        <f>('Scenario 2 Assumptions'!$D$209)*'Scenario 2 Assumptions'!$B$176</f>
        <v>6.7499999999999999E-3</v>
      </c>
      <c r="R87" s="148">
        <v>0</v>
      </c>
      <c r="S87" s="148">
        <v>0</v>
      </c>
      <c r="T87" s="148">
        <f>('Scenario 2 Assumptions'!$D$209)*'Scenario 2 Assumptions'!$B$176</f>
        <v>6.7499999999999999E-3</v>
      </c>
      <c r="U87" s="148">
        <v>0</v>
      </c>
      <c r="V87" s="293">
        <f t="shared" si="21"/>
        <v>4.725E-2</v>
      </c>
      <c r="W87" s="161">
        <f t="shared" si="22"/>
        <v>2.3625E-3</v>
      </c>
    </row>
    <row r="88" spans="1:23">
      <c r="A88" s="225" t="s">
        <v>1008</v>
      </c>
      <c r="B88" s="148">
        <f>('Scenario 2 Assumptions'!$D$212)*'Scenario 2 Assumptions'!$B$176</f>
        <v>6.7499999999999999E-3</v>
      </c>
      <c r="C88" s="148">
        <v>0</v>
      </c>
      <c r="D88" s="148">
        <v>0</v>
      </c>
      <c r="E88" s="148">
        <f>('Scenario 2 Assumptions'!$D$212)*'Scenario 2 Assumptions'!$B$176</f>
        <v>6.7499999999999999E-3</v>
      </c>
      <c r="F88" s="148">
        <v>0</v>
      </c>
      <c r="G88" s="148">
        <v>0</v>
      </c>
      <c r="H88" s="148">
        <f>('Scenario 2 Assumptions'!$D$212)*'Scenario 2 Assumptions'!$B$176</f>
        <v>6.7499999999999999E-3</v>
      </c>
      <c r="I88" s="148">
        <v>0</v>
      </c>
      <c r="J88" s="148">
        <v>0</v>
      </c>
      <c r="K88" s="148">
        <f>('Scenario 2 Assumptions'!$D$212)*'Scenario 2 Assumptions'!$B$176</f>
        <v>6.7499999999999999E-3</v>
      </c>
      <c r="L88" s="148">
        <v>0</v>
      </c>
      <c r="M88" s="148">
        <v>0</v>
      </c>
      <c r="N88" s="148">
        <f>('Scenario 2 Assumptions'!$D$212)*'Scenario 2 Assumptions'!$B$176</f>
        <v>6.7499999999999999E-3</v>
      </c>
      <c r="O88" s="148">
        <v>0</v>
      </c>
      <c r="P88" s="148">
        <v>0</v>
      </c>
      <c r="Q88" s="148">
        <f>('Scenario 2 Assumptions'!$D$212)*'Scenario 2 Assumptions'!$B$176</f>
        <v>6.7499999999999999E-3</v>
      </c>
      <c r="R88" s="148">
        <v>0</v>
      </c>
      <c r="S88" s="148">
        <v>0</v>
      </c>
      <c r="T88" s="148">
        <f>('Scenario 2 Assumptions'!$D$212)*'Scenario 2 Assumptions'!$B$176</f>
        <v>6.7499999999999999E-3</v>
      </c>
      <c r="U88" s="148">
        <v>0</v>
      </c>
      <c r="V88" s="293">
        <f t="shared" si="21"/>
        <v>4.725E-2</v>
      </c>
      <c r="W88" s="161">
        <f t="shared" si="22"/>
        <v>2.3625E-3</v>
      </c>
    </row>
    <row r="89" spans="1:23">
      <c r="A89" s="225" t="s">
        <v>1009</v>
      </c>
      <c r="B89" s="148">
        <f>('Scenario 2 Assumptions'!$D$213+'Scenario 2 Assumptions'!$D$214)*'Scenario 2 Assumptions'!$B$176</f>
        <v>1.35E-2</v>
      </c>
      <c r="C89" s="148">
        <v>0</v>
      </c>
      <c r="D89" s="148">
        <v>0</v>
      </c>
      <c r="E89" s="148">
        <f>('Scenario 2 Assumptions'!$D$213+'Scenario 2 Assumptions'!$D$214)*'Scenario 2 Assumptions'!$B$176</f>
        <v>1.35E-2</v>
      </c>
      <c r="F89" s="148">
        <v>0</v>
      </c>
      <c r="G89" s="148">
        <v>0</v>
      </c>
      <c r="H89" s="148">
        <f>('Scenario 2 Assumptions'!$D$213+'Scenario 2 Assumptions'!$D$214)*'Scenario 2 Assumptions'!$B$176</f>
        <v>1.35E-2</v>
      </c>
      <c r="I89" s="148">
        <v>0</v>
      </c>
      <c r="J89" s="148">
        <v>0</v>
      </c>
      <c r="K89" s="148">
        <f>('Scenario 2 Assumptions'!$D$213+'Scenario 2 Assumptions'!$D$214)*'Scenario 2 Assumptions'!$B$176</f>
        <v>1.35E-2</v>
      </c>
      <c r="L89" s="148">
        <v>0</v>
      </c>
      <c r="M89" s="148">
        <v>0</v>
      </c>
      <c r="N89" s="148">
        <f>('Scenario 2 Assumptions'!$D$213+'Scenario 2 Assumptions'!$D$214)*'Scenario 2 Assumptions'!$B$176</f>
        <v>1.35E-2</v>
      </c>
      <c r="O89" s="148">
        <v>0</v>
      </c>
      <c r="P89" s="148">
        <v>0</v>
      </c>
      <c r="Q89" s="148">
        <f>('Scenario 2 Assumptions'!$D$213+'Scenario 2 Assumptions'!$D$214)*'Scenario 2 Assumptions'!$B$176</f>
        <v>1.35E-2</v>
      </c>
      <c r="R89" s="148">
        <v>0</v>
      </c>
      <c r="S89" s="148">
        <v>0</v>
      </c>
      <c r="T89" s="148">
        <f>('Scenario 2 Assumptions'!$D$213+'Scenario 2 Assumptions'!$D$214)*'Scenario 2 Assumptions'!$B$176</f>
        <v>1.35E-2</v>
      </c>
      <c r="U89" s="148">
        <v>0</v>
      </c>
      <c r="V89" s="293">
        <f t="shared" si="21"/>
        <v>9.4500000000000001E-2</v>
      </c>
      <c r="W89" s="161">
        <f t="shared" si="22"/>
        <v>4.725E-3</v>
      </c>
    </row>
    <row r="90" spans="1:23">
      <c r="A90" s="225" t="s">
        <v>1035</v>
      </c>
      <c r="B90" s="148">
        <f>('Scenario 2 Assumptions'!$D$215)*'Scenario 2 Assumptions'!$B$176</f>
        <v>6.7499999999999999E-3</v>
      </c>
      <c r="C90" s="148">
        <v>0</v>
      </c>
      <c r="D90" s="148">
        <v>0</v>
      </c>
      <c r="E90" s="148">
        <f>('Scenario 2 Assumptions'!$D$215)*'Scenario 2 Assumptions'!$B$176</f>
        <v>6.7499999999999999E-3</v>
      </c>
      <c r="F90" s="148">
        <v>0</v>
      </c>
      <c r="G90" s="148">
        <v>0</v>
      </c>
      <c r="H90" s="148">
        <f>('Scenario 2 Assumptions'!$D$215)*'Scenario 2 Assumptions'!$B$176</f>
        <v>6.7499999999999999E-3</v>
      </c>
      <c r="I90" s="148">
        <v>0</v>
      </c>
      <c r="J90" s="148">
        <v>0</v>
      </c>
      <c r="K90" s="148">
        <f>('Scenario 2 Assumptions'!$D$215)*'Scenario 2 Assumptions'!$B$176</f>
        <v>6.7499999999999999E-3</v>
      </c>
      <c r="L90" s="148">
        <v>0</v>
      </c>
      <c r="M90" s="148">
        <v>0</v>
      </c>
      <c r="N90" s="148">
        <f>('Scenario 2 Assumptions'!$D$215)*'Scenario 2 Assumptions'!$B$176</f>
        <v>6.7499999999999999E-3</v>
      </c>
      <c r="O90" s="148">
        <v>0</v>
      </c>
      <c r="P90" s="148">
        <v>0</v>
      </c>
      <c r="Q90" s="148">
        <f>('Scenario 2 Assumptions'!$D$215)*'Scenario 2 Assumptions'!$B$176</f>
        <v>6.7499999999999999E-3</v>
      </c>
      <c r="R90" s="148">
        <v>0</v>
      </c>
      <c r="S90" s="148">
        <v>0</v>
      </c>
      <c r="T90" s="148">
        <f>('Scenario 2 Assumptions'!$D$215)*'Scenario 2 Assumptions'!$B$176</f>
        <v>6.7499999999999999E-3</v>
      </c>
      <c r="U90" s="148">
        <v>0</v>
      </c>
      <c r="V90" s="293">
        <f t="shared" si="21"/>
        <v>4.725E-2</v>
      </c>
      <c r="W90" s="161">
        <f t="shared" si="22"/>
        <v>2.3625E-3</v>
      </c>
    </row>
    <row r="91" spans="1:23">
      <c r="A91" s="225"/>
      <c r="B91" s="148"/>
      <c r="C91" s="148"/>
      <c r="D91" s="148"/>
      <c r="E91" s="148"/>
      <c r="F91" s="148"/>
      <c r="G91" s="148"/>
      <c r="H91" s="148"/>
      <c r="I91" s="148"/>
      <c r="J91" s="148"/>
      <c r="K91" s="148"/>
      <c r="L91" s="148"/>
      <c r="M91" s="148"/>
      <c r="N91" s="148"/>
      <c r="O91" s="148"/>
      <c r="P91" s="148"/>
      <c r="Q91" s="148"/>
      <c r="R91" s="148"/>
      <c r="S91" s="148"/>
      <c r="T91" s="148"/>
      <c r="U91" s="148"/>
      <c r="V91" s="293"/>
      <c r="W91" s="161"/>
    </row>
    <row r="92" spans="1:23">
      <c r="A92" s="10" t="s">
        <v>1171</v>
      </c>
      <c r="B92" s="148"/>
      <c r="C92" s="148"/>
      <c r="D92" s="148"/>
      <c r="E92" s="148"/>
      <c r="F92" s="148"/>
      <c r="G92" s="148"/>
      <c r="H92" s="148"/>
      <c r="I92" s="148"/>
      <c r="J92" s="148"/>
      <c r="K92" s="148"/>
      <c r="L92" s="148"/>
      <c r="M92" s="148"/>
      <c r="N92" s="148"/>
      <c r="O92" s="148"/>
      <c r="P92" s="148"/>
      <c r="Q92" s="148"/>
      <c r="R92" s="148"/>
      <c r="S92" s="148"/>
      <c r="T92" s="148"/>
      <c r="U92" s="148"/>
      <c r="V92" s="293"/>
      <c r="W92" s="161"/>
    </row>
    <row r="93" spans="1:23">
      <c r="A93" s="100" t="s">
        <v>659</v>
      </c>
      <c r="B93" s="148"/>
      <c r="C93" s="148"/>
      <c r="D93" s="148"/>
      <c r="E93" s="148"/>
      <c r="F93" s="148"/>
      <c r="G93" s="148"/>
      <c r="H93" s="148"/>
      <c r="I93" s="148"/>
      <c r="J93" s="148"/>
      <c r="K93" s="148"/>
      <c r="L93" s="148"/>
      <c r="M93" s="148"/>
      <c r="N93" s="148"/>
      <c r="O93" s="148"/>
      <c r="P93" s="148"/>
      <c r="Q93" s="148"/>
      <c r="R93" s="148"/>
      <c r="S93" s="148"/>
      <c r="T93" s="148"/>
      <c r="U93" s="148"/>
      <c r="V93" s="293"/>
      <c r="W93" s="161"/>
    </row>
    <row r="94" spans="1:23">
      <c r="A94" s="100"/>
      <c r="B94" s="148"/>
      <c r="C94" s="148"/>
      <c r="D94" s="148"/>
      <c r="E94" s="148"/>
      <c r="F94" s="148"/>
      <c r="G94" s="148"/>
      <c r="H94" s="148"/>
      <c r="I94" s="148"/>
      <c r="J94" s="148"/>
      <c r="K94" s="148"/>
      <c r="L94" s="148"/>
      <c r="M94" s="148"/>
      <c r="N94" s="148"/>
      <c r="O94" s="148"/>
      <c r="P94" s="148"/>
      <c r="Q94" s="148"/>
      <c r="R94" s="148"/>
      <c r="S94" s="148"/>
      <c r="T94" s="148"/>
      <c r="U94" s="148"/>
      <c r="V94" s="293"/>
      <c r="W94" s="161"/>
    </row>
    <row r="95" spans="1:23" s="100" customFormat="1">
      <c r="A95" s="10" t="s">
        <v>1158</v>
      </c>
      <c r="V95" s="179"/>
      <c r="W95" s="132"/>
    </row>
    <row r="96" spans="1:23">
      <c r="A96" s="225" t="s">
        <v>1003</v>
      </c>
      <c r="B96" s="52">
        <f>'Scenario 2 Assumptions'!$B$6*('Scenario 2 Assumptions'!$D$46+'Scenario 2 Assumptions'!$D$47)</f>
        <v>4.725E-3</v>
      </c>
      <c r="C96" s="52">
        <f>'Scenario 2 Assumptions'!$B$6*('Scenario 2 Assumptions'!$D$46+'Scenario 2 Assumptions'!$D$47)</f>
        <v>4.725E-3</v>
      </c>
      <c r="D96" s="52">
        <f>'Scenario 2 Assumptions'!$B$6*('Scenario 2 Assumptions'!$D$46+'Scenario 2 Assumptions'!$D$47)</f>
        <v>4.725E-3</v>
      </c>
      <c r="E96" s="52">
        <f>'Scenario 2 Assumptions'!$B$6*('Scenario 2 Assumptions'!$D$46+'Scenario 2 Assumptions'!$D$47)</f>
        <v>4.725E-3</v>
      </c>
      <c r="F96" s="52">
        <f>'Scenario 2 Assumptions'!$B$6*('Scenario 2 Assumptions'!$D$46+'Scenario 2 Assumptions'!$D$47)</f>
        <v>4.725E-3</v>
      </c>
      <c r="G96" s="52">
        <f>'Scenario 2 Assumptions'!$B$6*('Scenario 2 Assumptions'!$D$46+'Scenario 2 Assumptions'!$D$47)</f>
        <v>4.725E-3</v>
      </c>
      <c r="H96" s="52">
        <f>'Scenario 2 Assumptions'!$B$6*('Scenario 2 Assumptions'!$D$46+'Scenario 2 Assumptions'!$D$47)</f>
        <v>4.725E-3</v>
      </c>
      <c r="I96" s="52">
        <f>'Scenario 2 Assumptions'!$B$6*('Scenario 2 Assumptions'!$D$46+'Scenario 2 Assumptions'!$D$47)</f>
        <v>4.725E-3</v>
      </c>
      <c r="J96" s="52">
        <f>'Scenario 2 Assumptions'!$B$6*('Scenario 2 Assumptions'!$D$46+'Scenario 2 Assumptions'!$D$47)</f>
        <v>4.725E-3</v>
      </c>
      <c r="K96" s="52">
        <f>'Scenario 2 Assumptions'!$B$6*('Scenario 2 Assumptions'!$D$46+'Scenario 2 Assumptions'!$D$47)</f>
        <v>4.725E-3</v>
      </c>
      <c r="L96" s="52">
        <f>'Scenario 2 Assumptions'!$B$6*('Scenario 2 Assumptions'!$D$46+'Scenario 2 Assumptions'!$D$47)</f>
        <v>4.725E-3</v>
      </c>
      <c r="M96" s="52">
        <f>'Scenario 2 Assumptions'!$B$6*('Scenario 2 Assumptions'!$D$46+'Scenario 2 Assumptions'!$D$47)</f>
        <v>4.725E-3</v>
      </c>
      <c r="N96" s="52">
        <f>'Scenario 2 Assumptions'!$B$6*('Scenario 2 Assumptions'!$D$46+'Scenario 2 Assumptions'!$D$47)</f>
        <v>4.725E-3</v>
      </c>
      <c r="O96" s="52">
        <f>'Scenario 2 Assumptions'!$B$6*('Scenario 2 Assumptions'!$D$46+'Scenario 2 Assumptions'!$D$47)</f>
        <v>4.725E-3</v>
      </c>
      <c r="P96" s="52">
        <f>'Scenario 2 Assumptions'!$B$6*('Scenario 2 Assumptions'!$D$46+'Scenario 2 Assumptions'!$D$47)</f>
        <v>4.725E-3</v>
      </c>
      <c r="Q96" s="52">
        <f>'Scenario 2 Assumptions'!$B$6*('Scenario 2 Assumptions'!$D$46+'Scenario 2 Assumptions'!$D$47)</f>
        <v>4.725E-3</v>
      </c>
      <c r="R96" s="52">
        <f>'Scenario 2 Assumptions'!$B$6*('Scenario 2 Assumptions'!$D$46+'Scenario 2 Assumptions'!$D$47)</f>
        <v>4.725E-3</v>
      </c>
      <c r="S96" s="52">
        <f>'Scenario 2 Assumptions'!$B$6*('Scenario 2 Assumptions'!$D$46+'Scenario 2 Assumptions'!$D$47)</f>
        <v>4.725E-3</v>
      </c>
      <c r="T96" s="52">
        <f>'Scenario 2 Assumptions'!$B$6*('Scenario 2 Assumptions'!$D$46+'Scenario 2 Assumptions'!$D$47)</f>
        <v>4.725E-3</v>
      </c>
      <c r="U96" s="52">
        <f>'Scenario 2 Assumptions'!$B$6*('Scenario 2 Assumptions'!$D$46+'Scenario 2 Assumptions'!$D$47)</f>
        <v>4.725E-3</v>
      </c>
      <c r="V96" s="288">
        <f t="shared" ref="V96:V124" si="23">SUM(B96:U96)</f>
        <v>9.4500000000000028E-2</v>
      </c>
      <c r="W96" s="133">
        <f t="shared" ref="W96:W124" si="24">V96/20</f>
        <v>4.7250000000000018E-3</v>
      </c>
    </row>
    <row r="97" spans="1:23">
      <c r="A97" s="225" t="s">
        <v>1004</v>
      </c>
      <c r="B97" s="52">
        <f>'Scenario 2 Assumptions'!$B$6*('Scenario 2 Assumptions'!$D$48+'Scenario 2 Assumptions'!$D$49)</f>
        <v>9.4500000000000001E-3</v>
      </c>
      <c r="C97" s="52">
        <f>'Scenario 2 Assumptions'!$B$6*('Scenario 2 Assumptions'!$D$48+'Scenario 2 Assumptions'!$D$49)</f>
        <v>9.4500000000000001E-3</v>
      </c>
      <c r="D97" s="52">
        <f>'Scenario 2 Assumptions'!$B$6*('Scenario 2 Assumptions'!$D$48+'Scenario 2 Assumptions'!$D$49)</f>
        <v>9.4500000000000001E-3</v>
      </c>
      <c r="E97" s="52">
        <f>'Scenario 2 Assumptions'!$B$6*('Scenario 2 Assumptions'!$D$48+'Scenario 2 Assumptions'!$D$49)</f>
        <v>9.4500000000000001E-3</v>
      </c>
      <c r="F97" s="52">
        <f>'Scenario 2 Assumptions'!$B$6*('Scenario 2 Assumptions'!$D$48+'Scenario 2 Assumptions'!$D$49)</f>
        <v>9.4500000000000001E-3</v>
      </c>
      <c r="G97" s="52">
        <f>'Scenario 2 Assumptions'!$B$6*('Scenario 2 Assumptions'!$D$48+'Scenario 2 Assumptions'!$D$49)</f>
        <v>9.4500000000000001E-3</v>
      </c>
      <c r="H97" s="52">
        <f>'Scenario 2 Assumptions'!$B$6*('Scenario 2 Assumptions'!$D$48+'Scenario 2 Assumptions'!$D$49)</f>
        <v>9.4500000000000001E-3</v>
      </c>
      <c r="I97" s="52">
        <f>'Scenario 2 Assumptions'!$B$6*('Scenario 2 Assumptions'!$D$48+'Scenario 2 Assumptions'!$D$49)</f>
        <v>9.4500000000000001E-3</v>
      </c>
      <c r="J97" s="52">
        <f>'Scenario 2 Assumptions'!$B$6*('Scenario 2 Assumptions'!$D$48+'Scenario 2 Assumptions'!$D$49)</f>
        <v>9.4500000000000001E-3</v>
      </c>
      <c r="K97" s="52">
        <f>'Scenario 2 Assumptions'!$B$6*('Scenario 2 Assumptions'!$D$48+'Scenario 2 Assumptions'!$D$49)</f>
        <v>9.4500000000000001E-3</v>
      </c>
      <c r="L97" s="52">
        <f>'Scenario 2 Assumptions'!$B$6*('Scenario 2 Assumptions'!$D$48+'Scenario 2 Assumptions'!$D$49)</f>
        <v>9.4500000000000001E-3</v>
      </c>
      <c r="M97" s="52">
        <f>'Scenario 2 Assumptions'!$B$6*('Scenario 2 Assumptions'!$D$48+'Scenario 2 Assumptions'!$D$49)</f>
        <v>9.4500000000000001E-3</v>
      </c>
      <c r="N97" s="52">
        <f>'Scenario 2 Assumptions'!$B$6*('Scenario 2 Assumptions'!$D$48+'Scenario 2 Assumptions'!$D$49)</f>
        <v>9.4500000000000001E-3</v>
      </c>
      <c r="O97" s="52">
        <f>'Scenario 2 Assumptions'!$B$6*('Scenario 2 Assumptions'!$D$48+'Scenario 2 Assumptions'!$D$49)</f>
        <v>9.4500000000000001E-3</v>
      </c>
      <c r="P97" s="52">
        <f>'Scenario 2 Assumptions'!$B$6*('Scenario 2 Assumptions'!$D$48+'Scenario 2 Assumptions'!$D$49)</f>
        <v>9.4500000000000001E-3</v>
      </c>
      <c r="Q97" s="52">
        <f>'Scenario 2 Assumptions'!$B$6*('Scenario 2 Assumptions'!$D$48+'Scenario 2 Assumptions'!$D$49)</f>
        <v>9.4500000000000001E-3</v>
      </c>
      <c r="R97" s="52">
        <f>'Scenario 2 Assumptions'!$B$6*('Scenario 2 Assumptions'!$D$48+'Scenario 2 Assumptions'!$D$49)</f>
        <v>9.4500000000000001E-3</v>
      </c>
      <c r="S97" s="52">
        <f>'Scenario 2 Assumptions'!$B$6*('Scenario 2 Assumptions'!$D$48+'Scenario 2 Assumptions'!$D$49)</f>
        <v>9.4500000000000001E-3</v>
      </c>
      <c r="T97" s="52">
        <f>'Scenario 2 Assumptions'!$B$6*('Scenario 2 Assumptions'!$D$48+'Scenario 2 Assumptions'!$D$49)</f>
        <v>9.4500000000000001E-3</v>
      </c>
      <c r="U97" s="52">
        <f>'Scenario 2 Assumptions'!$B$6*('Scenario 2 Assumptions'!$D$48+'Scenario 2 Assumptions'!$D$49)</f>
        <v>9.4500000000000001E-3</v>
      </c>
      <c r="V97" s="288">
        <f t="shared" si="23"/>
        <v>0.18900000000000006</v>
      </c>
      <c r="W97" s="133">
        <f t="shared" si="24"/>
        <v>9.4500000000000035E-3</v>
      </c>
    </row>
    <row r="98" spans="1:23">
      <c r="A98" s="225" t="s">
        <v>1083</v>
      </c>
      <c r="B98" s="52">
        <f>'Scenario 2 Assumptions'!$B$6*('Scenario 2 Assumptions'!$D$50+'Scenario 2 Assumptions'!$D$51+'Scenario 2 Assumptions'!$D$52)</f>
        <v>3.375E-3</v>
      </c>
      <c r="C98" s="52">
        <f>'Scenario 2 Assumptions'!$B$6*('Scenario 2 Assumptions'!$D$50+'Scenario 2 Assumptions'!$D$51+'Scenario 2 Assumptions'!$D$52)</f>
        <v>3.375E-3</v>
      </c>
      <c r="D98" s="52">
        <f>'Scenario 2 Assumptions'!$B$6*('Scenario 2 Assumptions'!$D$50+'Scenario 2 Assumptions'!$D$51+'Scenario 2 Assumptions'!$D$52)</f>
        <v>3.375E-3</v>
      </c>
      <c r="E98" s="52">
        <f>'Scenario 2 Assumptions'!$B$6*('Scenario 2 Assumptions'!$D$50+'Scenario 2 Assumptions'!$D$51+'Scenario 2 Assumptions'!$D$52)</f>
        <v>3.375E-3</v>
      </c>
      <c r="F98" s="52">
        <f>'Scenario 2 Assumptions'!$B$6*('Scenario 2 Assumptions'!$D$50+'Scenario 2 Assumptions'!$D$51+'Scenario 2 Assumptions'!$D$52)</f>
        <v>3.375E-3</v>
      </c>
      <c r="G98" s="52">
        <f>'Scenario 2 Assumptions'!$B$6*('Scenario 2 Assumptions'!$D$50+'Scenario 2 Assumptions'!$D$51+'Scenario 2 Assumptions'!$D$52)</f>
        <v>3.375E-3</v>
      </c>
      <c r="H98" s="52">
        <f>'Scenario 2 Assumptions'!$B$6*('Scenario 2 Assumptions'!$D$50+'Scenario 2 Assumptions'!$D$51+'Scenario 2 Assumptions'!$D$52)</f>
        <v>3.375E-3</v>
      </c>
      <c r="I98" s="52">
        <f>'Scenario 2 Assumptions'!$B$6*('Scenario 2 Assumptions'!$D$50+'Scenario 2 Assumptions'!$D$51+'Scenario 2 Assumptions'!$D$52)</f>
        <v>3.375E-3</v>
      </c>
      <c r="J98" s="52">
        <f>'Scenario 2 Assumptions'!$B$6*('Scenario 2 Assumptions'!$D$50+'Scenario 2 Assumptions'!$D$51+'Scenario 2 Assumptions'!$D$52)</f>
        <v>3.375E-3</v>
      </c>
      <c r="K98" s="52">
        <f>'Scenario 2 Assumptions'!$B$6*('Scenario 2 Assumptions'!$D$50+'Scenario 2 Assumptions'!$D$51+'Scenario 2 Assumptions'!$D$52)</f>
        <v>3.375E-3</v>
      </c>
      <c r="L98" s="52">
        <f>'Scenario 2 Assumptions'!$B$6*('Scenario 2 Assumptions'!$D$50+'Scenario 2 Assumptions'!$D$51+'Scenario 2 Assumptions'!$D$52)</f>
        <v>3.375E-3</v>
      </c>
      <c r="M98" s="52">
        <f>'Scenario 2 Assumptions'!$B$6*('Scenario 2 Assumptions'!$D$50+'Scenario 2 Assumptions'!$D$51+'Scenario 2 Assumptions'!$D$52)</f>
        <v>3.375E-3</v>
      </c>
      <c r="N98" s="52">
        <f>'Scenario 2 Assumptions'!$B$6*('Scenario 2 Assumptions'!$D$50+'Scenario 2 Assumptions'!$D$51+'Scenario 2 Assumptions'!$D$52)</f>
        <v>3.375E-3</v>
      </c>
      <c r="O98" s="52">
        <f>'Scenario 2 Assumptions'!$B$6*('Scenario 2 Assumptions'!$D$50+'Scenario 2 Assumptions'!$D$51+'Scenario 2 Assumptions'!$D$52)</f>
        <v>3.375E-3</v>
      </c>
      <c r="P98" s="52">
        <f>'Scenario 2 Assumptions'!$B$6*('Scenario 2 Assumptions'!$D$50+'Scenario 2 Assumptions'!$D$51+'Scenario 2 Assumptions'!$D$52)</f>
        <v>3.375E-3</v>
      </c>
      <c r="Q98" s="52">
        <f>'Scenario 2 Assumptions'!$B$6*('Scenario 2 Assumptions'!$D$50+'Scenario 2 Assumptions'!$D$51+'Scenario 2 Assumptions'!$D$52)</f>
        <v>3.375E-3</v>
      </c>
      <c r="R98" s="52">
        <f>'Scenario 2 Assumptions'!$B$6*('Scenario 2 Assumptions'!$D$50+'Scenario 2 Assumptions'!$D$51+'Scenario 2 Assumptions'!$D$52)</f>
        <v>3.375E-3</v>
      </c>
      <c r="S98" s="52">
        <f>'Scenario 2 Assumptions'!$B$6*('Scenario 2 Assumptions'!$D$50+'Scenario 2 Assumptions'!$D$51+'Scenario 2 Assumptions'!$D$52)</f>
        <v>3.375E-3</v>
      </c>
      <c r="T98" s="52">
        <f>'Scenario 2 Assumptions'!$B$6*('Scenario 2 Assumptions'!$D$50+'Scenario 2 Assumptions'!$D$51+'Scenario 2 Assumptions'!$D$52)</f>
        <v>3.375E-3</v>
      </c>
      <c r="U98" s="52">
        <f>'Scenario 2 Assumptions'!$B$6*('Scenario 2 Assumptions'!$D$50+'Scenario 2 Assumptions'!$D$51+'Scenario 2 Assumptions'!$D$52)</f>
        <v>3.375E-3</v>
      </c>
      <c r="V98" s="288">
        <f t="shared" si="23"/>
        <v>6.7500000000000032E-2</v>
      </c>
      <c r="W98" s="133">
        <f t="shared" si="24"/>
        <v>3.3750000000000017E-3</v>
      </c>
    </row>
    <row r="99" spans="1:23">
      <c r="A99" s="225" t="s">
        <v>1072</v>
      </c>
      <c r="B99" s="52">
        <f>'Scenario 2 Assumptions'!$B$6*('Scenario 2 Assumptions'!$D$55+'Scenario 2 Assumptions'!$D$56)</f>
        <v>1.4174999999999997E-2</v>
      </c>
      <c r="C99" s="52">
        <f>'Scenario 2 Assumptions'!$B$6*('Scenario 2 Assumptions'!$D$55+'Scenario 2 Assumptions'!$D$56)</f>
        <v>1.4174999999999997E-2</v>
      </c>
      <c r="D99" s="52">
        <f>'Scenario 2 Assumptions'!$B$6*('Scenario 2 Assumptions'!$D$55+'Scenario 2 Assumptions'!$D$56)</f>
        <v>1.4174999999999997E-2</v>
      </c>
      <c r="E99" s="52">
        <f>'Scenario 2 Assumptions'!$B$6*('Scenario 2 Assumptions'!$D$55+'Scenario 2 Assumptions'!$D$56)</f>
        <v>1.4174999999999997E-2</v>
      </c>
      <c r="F99" s="52">
        <f>'Scenario 2 Assumptions'!$B$6*('Scenario 2 Assumptions'!$D$55+'Scenario 2 Assumptions'!$D$56)</f>
        <v>1.4174999999999997E-2</v>
      </c>
      <c r="G99" s="52">
        <f>'Scenario 2 Assumptions'!$B$6*('Scenario 2 Assumptions'!$D$55+'Scenario 2 Assumptions'!$D$56)</f>
        <v>1.4174999999999997E-2</v>
      </c>
      <c r="H99" s="52">
        <f>'Scenario 2 Assumptions'!$B$6*('Scenario 2 Assumptions'!$D$55+'Scenario 2 Assumptions'!$D$56)</f>
        <v>1.4174999999999997E-2</v>
      </c>
      <c r="I99" s="52">
        <f>'Scenario 2 Assumptions'!$B$6*('Scenario 2 Assumptions'!$D$55+'Scenario 2 Assumptions'!$D$56)</f>
        <v>1.4174999999999997E-2</v>
      </c>
      <c r="J99" s="52">
        <f>'Scenario 2 Assumptions'!$B$6*('Scenario 2 Assumptions'!$D$55+'Scenario 2 Assumptions'!$D$56)</f>
        <v>1.4174999999999997E-2</v>
      </c>
      <c r="K99" s="52">
        <f>'Scenario 2 Assumptions'!$B$6*('Scenario 2 Assumptions'!$D$55+'Scenario 2 Assumptions'!$D$56)</f>
        <v>1.4174999999999997E-2</v>
      </c>
      <c r="L99" s="52">
        <f>'Scenario 2 Assumptions'!$B$6*('Scenario 2 Assumptions'!$D$55+'Scenario 2 Assumptions'!$D$56)</f>
        <v>1.4174999999999997E-2</v>
      </c>
      <c r="M99" s="52">
        <f>'Scenario 2 Assumptions'!$B$6*('Scenario 2 Assumptions'!$D$55+'Scenario 2 Assumptions'!$D$56)</f>
        <v>1.4174999999999997E-2</v>
      </c>
      <c r="N99" s="52">
        <f>'Scenario 2 Assumptions'!$B$6*('Scenario 2 Assumptions'!$D$55+'Scenario 2 Assumptions'!$D$56)</f>
        <v>1.4174999999999997E-2</v>
      </c>
      <c r="O99" s="52">
        <f>'Scenario 2 Assumptions'!$B$6*('Scenario 2 Assumptions'!$D$55+'Scenario 2 Assumptions'!$D$56)</f>
        <v>1.4174999999999997E-2</v>
      </c>
      <c r="P99" s="52">
        <f>'Scenario 2 Assumptions'!$B$6*('Scenario 2 Assumptions'!$D$55+'Scenario 2 Assumptions'!$D$56)</f>
        <v>1.4174999999999997E-2</v>
      </c>
      <c r="Q99" s="52">
        <f>'Scenario 2 Assumptions'!$B$6*('Scenario 2 Assumptions'!$D$55+'Scenario 2 Assumptions'!$D$56)</f>
        <v>1.4174999999999997E-2</v>
      </c>
      <c r="R99" s="52">
        <f>'Scenario 2 Assumptions'!$B$6*('Scenario 2 Assumptions'!$D$55+'Scenario 2 Assumptions'!$D$56)</f>
        <v>1.4174999999999997E-2</v>
      </c>
      <c r="S99" s="52">
        <f>'Scenario 2 Assumptions'!$B$6*('Scenario 2 Assumptions'!$D$55+'Scenario 2 Assumptions'!$D$56)</f>
        <v>1.4174999999999997E-2</v>
      </c>
      <c r="T99" s="52">
        <f>'Scenario 2 Assumptions'!$B$6*('Scenario 2 Assumptions'!$D$55+'Scenario 2 Assumptions'!$D$56)</f>
        <v>1.4174999999999997E-2</v>
      </c>
      <c r="U99" s="52">
        <f>'Scenario 2 Assumptions'!$B$6*('Scenario 2 Assumptions'!$D$55+'Scenario 2 Assumptions'!$D$56)</f>
        <v>1.4174999999999997E-2</v>
      </c>
      <c r="V99" s="288">
        <f t="shared" si="23"/>
        <v>0.28349999999999992</v>
      </c>
      <c r="W99" s="133">
        <f t="shared" si="24"/>
        <v>1.4174999999999997E-2</v>
      </c>
    </row>
    <row r="100" spans="1:23">
      <c r="A100" s="225" t="s">
        <v>1073</v>
      </c>
      <c r="B100" s="52">
        <f>'Scenario 2 Assumptions'!$B$6*('Scenario 2 Assumptions'!$D$53+'Scenario 2 Assumptions'!$D$54)</f>
        <v>1.4174999999999997E-2</v>
      </c>
      <c r="C100" s="52">
        <f>'Scenario 2 Assumptions'!$B$6*('Scenario 2 Assumptions'!$D$53+'Scenario 2 Assumptions'!$D$54)</f>
        <v>1.4174999999999997E-2</v>
      </c>
      <c r="D100" s="52">
        <f>'Scenario 2 Assumptions'!$B$6*('Scenario 2 Assumptions'!$D$53+'Scenario 2 Assumptions'!$D$54)</f>
        <v>1.4174999999999997E-2</v>
      </c>
      <c r="E100" s="52">
        <f>'Scenario 2 Assumptions'!$B$6*('Scenario 2 Assumptions'!$D$53+'Scenario 2 Assumptions'!$D$54)</f>
        <v>1.4174999999999997E-2</v>
      </c>
      <c r="F100" s="52">
        <f>'Scenario 2 Assumptions'!$B$6*('Scenario 2 Assumptions'!$D$53+'Scenario 2 Assumptions'!$D$54)</f>
        <v>1.4174999999999997E-2</v>
      </c>
      <c r="G100" s="52">
        <f>'Scenario 2 Assumptions'!$B$6*('Scenario 2 Assumptions'!$D$53+'Scenario 2 Assumptions'!$D$54)</f>
        <v>1.4174999999999997E-2</v>
      </c>
      <c r="H100" s="52">
        <f>'Scenario 2 Assumptions'!$B$6*('Scenario 2 Assumptions'!$D$53+'Scenario 2 Assumptions'!$D$54)</f>
        <v>1.4174999999999997E-2</v>
      </c>
      <c r="I100" s="52">
        <f>'Scenario 2 Assumptions'!$B$6*('Scenario 2 Assumptions'!$D$53+'Scenario 2 Assumptions'!$D$54)</f>
        <v>1.4174999999999997E-2</v>
      </c>
      <c r="J100" s="52">
        <f>'Scenario 2 Assumptions'!$B$6*('Scenario 2 Assumptions'!$D$53+'Scenario 2 Assumptions'!$D$54)</f>
        <v>1.4174999999999997E-2</v>
      </c>
      <c r="K100" s="52">
        <f>'Scenario 2 Assumptions'!$B$6*('Scenario 2 Assumptions'!$D$53+'Scenario 2 Assumptions'!$D$54)</f>
        <v>1.4174999999999997E-2</v>
      </c>
      <c r="L100" s="52">
        <f>'Scenario 2 Assumptions'!$B$6*('Scenario 2 Assumptions'!$D$53+'Scenario 2 Assumptions'!$D$54)</f>
        <v>1.4174999999999997E-2</v>
      </c>
      <c r="M100" s="52">
        <f>'Scenario 2 Assumptions'!$B$6*('Scenario 2 Assumptions'!$D$53+'Scenario 2 Assumptions'!$D$54)</f>
        <v>1.4174999999999997E-2</v>
      </c>
      <c r="N100" s="52">
        <f>'Scenario 2 Assumptions'!$B$6*('Scenario 2 Assumptions'!$D$53+'Scenario 2 Assumptions'!$D$54)</f>
        <v>1.4174999999999997E-2</v>
      </c>
      <c r="O100" s="52">
        <f>'Scenario 2 Assumptions'!$B$6*('Scenario 2 Assumptions'!$D$53+'Scenario 2 Assumptions'!$D$54)</f>
        <v>1.4174999999999997E-2</v>
      </c>
      <c r="P100" s="52">
        <f>'Scenario 2 Assumptions'!$B$6*('Scenario 2 Assumptions'!$D$53+'Scenario 2 Assumptions'!$D$54)</f>
        <v>1.4174999999999997E-2</v>
      </c>
      <c r="Q100" s="52">
        <f>'Scenario 2 Assumptions'!$B$6*('Scenario 2 Assumptions'!$D$53+'Scenario 2 Assumptions'!$D$54)</f>
        <v>1.4174999999999997E-2</v>
      </c>
      <c r="R100" s="52">
        <f>'Scenario 2 Assumptions'!$B$6*('Scenario 2 Assumptions'!$D$53+'Scenario 2 Assumptions'!$D$54)</f>
        <v>1.4174999999999997E-2</v>
      </c>
      <c r="S100" s="52">
        <f>'Scenario 2 Assumptions'!$B$6*('Scenario 2 Assumptions'!$D$53+'Scenario 2 Assumptions'!$D$54)</f>
        <v>1.4174999999999997E-2</v>
      </c>
      <c r="T100" s="52">
        <f>'Scenario 2 Assumptions'!$B$6*('Scenario 2 Assumptions'!$D$53+'Scenario 2 Assumptions'!$D$54)</f>
        <v>1.4174999999999997E-2</v>
      </c>
      <c r="U100" s="52">
        <f>'Scenario 2 Assumptions'!$B$6*('Scenario 2 Assumptions'!$D$53+'Scenario 2 Assumptions'!$D$54)</f>
        <v>1.4174999999999997E-2</v>
      </c>
      <c r="V100" s="288">
        <f t="shared" si="23"/>
        <v>0.28349999999999992</v>
      </c>
      <c r="W100" s="133">
        <f t="shared" si="24"/>
        <v>1.4174999999999997E-2</v>
      </c>
    </row>
    <row r="101" spans="1:23">
      <c r="A101" s="86" t="s">
        <v>1071</v>
      </c>
      <c r="B101" s="52">
        <f>'Scenario 2 Assumptions'!$B$6*('Scenario 2 Assumptions'!$D$57+'Scenario 2 Assumptions'!$D$58)</f>
        <v>2.0250000000000003E-3</v>
      </c>
      <c r="C101" s="52">
        <f>'Scenario 2 Assumptions'!$B$6*('Scenario 2 Assumptions'!$D$57+'Scenario 2 Assumptions'!$D$58)</f>
        <v>2.0250000000000003E-3</v>
      </c>
      <c r="D101" s="52">
        <f>'Scenario 2 Assumptions'!$B$6*('Scenario 2 Assumptions'!$D$57+'Scenario 2 Assumptions'!$D$58)</f>
        <v>2.0250000000000003E-3</v>
      </c>
      <c r="E101" s="52">
        <f>'Scenario 2 Assumptions'!$B$6*('Scenario 2 Assumptions'!$D$57+'Scenario 2 Assumptions'!$D$58)</f>
        <v>2.0250000000000003E-3</v>
      </c>
      <c r="F101" s="52">
        <f>'Scenario 2 Assumptions'!$B$6*('Scenario 2 Assumptions'!$D$57+'Scenario 2 Assumptions'!$D$58)</f>
        <v>2.0250000000000003E-3</v>
      </c>
      <c r="G101" s="52">
        <f>'Scenario 2 Assumptions'!$B$6*('Scenario 2 Assumptions'!$D$57+'Scenario 2 Assumptions'!$D$58)</f>
        <v>2.0250000000000003E-3</v>
      </c>
      <c r="H101" s="52">
        <f>'Scenario 2 Assumptions'!$B$6*('Scenario 2 Assumptions'!$D$57+'Scenario 2 Assumptions'!$D$58)</f>
        <v>2.0250000000000003E-3</v>
      </c>
      <c r="I101" s="52">
        <f>'Scenario 2 Assumptions'!$B$6*('Scenario 2 Assumptions'!$D$57+'Scenario 2 Assumptions'!$D$58)</f>
        <v>2.0250000000000003E-3</v>
      </c>
      <c r="J101" s="52">
        <f>'Scenario 2 Assumptions'!$B$6*('Scenario 2 Assumptions'!$D$57+'Scenario 2 Assumptions'!$D$58)</f>
        <v>2.0250000000000003E-3</v>
      </c>
      <c r="K101" s="52">
        <f>'Scenario 2 Assumptions'!$B$6*('Scenario 2 Assumptions'!$D$57+'Scenario 2 Assumptions'!$D$58)</f>
        <v>2.0250000000000003E-3</v>
      </c>
      <c r="L101" s="52">
        <f>'Scenario 2 Assumptions'!$B$6*('Scenario 2 Assumptions'!$D$57+'Scenario 2 Assumptions'!$D$58)</f>
        <v>2.0250000000000003E-3</v>
      </c>
      <c r="M101" s="52">
        <f>'Scenario 2 Assumptions'!$B$6*('Scenario 2 Assumptions'!$D$57+'Scenario 2 Assumptions'!$D$58)</f>
        <v>2.0250000000000003E-3</v>
      </c>
      <c r="N101" s="52">
        <f>'Scenario 2 Assumptions'!$B$6*('Scenario 2 Assumptions'!$D$57+'Scenario 2 Assumptions'!$D$58)</f>
        <v>2.0250000000000003E-3</v>
      </c>
      <c r="O101" s="52">
        <f>'Scenario 2 Assumptions'!$B$6*('Scenario 2 Assumptions'!$D$57+'Scenario 2 Assumptions'!$D$58)</f>
        <v>2.0250000000000003E-3</v>
      </c>
      <c r="P101" s="52">
        <f>'Scenario 2 Assumptions'!$B$6*('Scenario 2 Assumptions'!$D$57+'Scenario 2 Assumptions'!$D$58)</f>
        <v>2.0250000000000003E-3</v>
      </c>
      <c r="Q101" s="52">
        <f>'Scenario 2 Assumptions'!$B$6*('Scenario 2 Assumptions'!$D$57+'Scenario 2 Assumptions'!$D$58)</f>
        <v>2.0250000000000003E-3</v>
      </c>
      <c r="R101" s="52">
        <f>'Scenario 2 Assumptions'!$B$6*('Scenario 2 Assumptions'!$D$57+'Scenario 2 Assumptions'!$D$58)</f>
        <v>2.0250000000000003E-3</v>
      </c>
      <c r="S101" s="52">
        <f>'Scenario 2 Assumptions'!$B$6*('Scenario 2 Assumptions'!$D$57+'Scenario 2 Assumptions'!$D$58)</f>
        <v>2.0250000000000003E-3</v>
      </c>
      <c r="T101" s="52">
        <f>'Scenario 2 Assumptions'!$B$6*('Scenario 2 Assumptions'!$D$57+'Scenario 2 Assumptions'!$D$58)</f>
        <v>2.0250000000000003E-3</v>
      </c>
      <c r="U101" s="52">
        <f>'Scenario 2 Assumptions'!$B$6*('Scenario 2 Assumptions'!$D$57+'Scenario 2 Assumptions'!$D$58)</f>
        <v>2.0250000000000003E-3</v>
      </c>
      <c r="V101" s="288">
        <f t="shared" si="23"/>
        <v>4.0499999999999994E-2</v>
      </c>
      <c r="W101" s="133">
        <f t="shared" si="24"/>
        <v>2.0249999999999999E-3</v>
      </c>
    </row>
    <row r="102" spans="1:23">
      <c r="A102" s="225" t="s">
        <v>1040</v>
      </c>
      <c r="B102" s="52">
        <f>'Scenario 2 Assumptions'!$B$6*('Scenario 2 Assumptions'!$D$59+'Scenario 2 Assumptions'!$D$60)</f>
        <v>1.3500000000000001E-3</v>
      </c>
      <c r="C102" s="52">
        <f>'Scenario 2 Assumptions'!$B$6*('Scenario 2 Assumptions'!$D$59+'Scenario 2 Assumptions'!$D$60)</f>
        <v>1.3500000000000001E-3</v>
      </c>
      <c r="D102" s="52">
        <f>'Scenario 2 Assumptions'!$B$6*('Scenario 2 Assumptions'!$D$59+'Scenario 2 Assumptions'!$D$60)</f>
        <v>1.3500000000000001E-3</v>
      </c>
      <c r="E102" s="52">
        <f>'Scenario 2 Assumptions'!$B$6*('Scenario 2 Assumptions'!$D$59+'Scenario 2 Assumptions'!$D$60)</f>
        <v>1.3500000000000001E-3</v>
      </c>
      <c r="F102" s="52">
        <f>'Scenario 2 Assumptions'!$B$6*('Scenario 2 Assumptions'!$D$59+'Scenario 2 Assumptions'!$D$60)</f>
        <v>1.3500000000000001E-3</v>
      </c>
      <c r="G102" s="52">
        <f>'Scenario 2 Assumptions'!$B$6*('Scenario 2 Assumptions'!$D$59+'Scenario 2 Assumptions'!$D$60)</f>
        <v>1.3500000000000001E-3</v>
      </c>
      <c r="H102" s="52">
        <f>'Scenario 2 Assumptions'!$B$6*('Scenario 2 Assumptions'!$D$59+'Scenario 2 Assumptions'!$D$60)</f>
        <v>1.3500000000000001E-3</v>
      </c>
      <c r="I102" s="52">
        <f>'Scenario 2 Assumptions'!$B$6*('Scenario 2 Assumptions'!$D$59+'Scenario 2 Assumptions'!$D$60)</f>
        <v>1.3500000000000001E-3</v>
      </c>
      <c r="J102" s="52">
        <f>'Scenario 2 Assumptions'!$B$6*('Scenario 2 Assumptions'!$D$59+'Scenario 2 Assumptions'!$D$60)</f>
        <v>1.3500000000000001E-3</v>
      </c>
      <c r="K102" s="52">
        <f>'Scenario 2 Assumptions'!$B$6*('Scenario 2 Assumptions'!$D$59+'Scenario 2 Assumptions'!$D$60)</f>
        <v>1.3500000000000001E-3</v>
      </c>
      <c r="L102" s="52">
        <f>'Scenario 2 Assumptions'!$B$6*('Scenario 2 Assumptions'!$D$59+'Scenario 2 Assumptions'!$D$60)</f>
        <v>1.3500000000000001E-3</v>
      </c>
      <c r="M102" s="52">
        <f>'Scenario 2 Assumptions'!$B$6*('Scenario 2 Assumptions'!$D$59+'Scenario 2 Assumptions'!$D$60)</f>
        <v>1.3500000000000001E-3</v>
      </c>
      <c r="N102" s="52">
        <f>'Scenario 2 Assumptions'!$B$6*('Scenario 2 Assumptions'!$D$59+'Scenario 2 Assumptions'!$D$60)</f>
        <v>1.3500000000000001E-3</v>
      </c>
      <c r="O102" s="52">
        <f>'Scenario 2 Assumptions'!$B$6*('Scenario 2 Assumptions'!$D$59+'Scenario 2 Assumptions'!$D$60)</f>
        <v>1.3500000000000001E-3</v>
      </c>
      <c r="P102" s="52">
        <f>'Scenario 2 Assumptions'!$B$6*('Scenario 2 Assumptions'!$D$59+'Scenario 2 Assumptions'!$D$60)</f>
        <v>1.3500000000000001E-3</v>
      </c>
      <c r="Q102" s="52">
        <f>'Scenario 2 Assumptions'!$B$6*('Scenario 2 Assumptions'!$D$59+'Scenario 2 Assumptions'!$D$60)</f>
        <v>1.3500000000000001E-3</v>
      </c>
      <c r="R102" s="52">
        <f>'Scenario 2 Assumptions'!$B$6*('Scenario 2 Assumptions'!$D$59+'Scenario 2 Assumptions'!$D$60)</f>
        <v>1.3500000000000001E-3</v>
      </c>
      <c r="S102" s="52">
        <f>'Scenario 2 Assumptions'!$B$6*('Scenario 2 Assumptions'!$D$59+'Scenario 2 Assumptions'!$D$60)</f>
        <v>1.3500000000000001E-3</v>
      </c>
      <c r="T102" s="52">
        <f>'Scenario 2 Assumptions'!$B$6*('Scenario 2 Assumptions'!$D$59+'Scenario 2 Assumptions'!$D$60)</f>
        <v>1.3500000000000001E-3</v>
      </c>
      <c r="U102" s="52">
        <f>'Scenario 2 Assumptions'!$B$6*('Scenario 2 Assumptions'!$D$59+'Scenario 2 Assumptions'!$D$60)</f>
        <v>1.3500000000000001E-3</v>
      </c>
      <c r="V102" s="288">
        <f t="shared" si="23"/>
        <v>2.7000000000000007E-2</v>
      </c>
      <c r="W102" s="133">
        <f t="shared" si="24"/>
        <v>1.3500000000000003E-3</v>
      </c>
    </row>
    <row r="103" spans="1:23">
      <c r="A103" s="225" t="s">
        <v>1076</v>
      </c>
      <c r="B103" s="52">
        <f>'Scenario 2 Assumptions'!$B$6*('Scenario 2 Assumptions'!$D$61)</f>
        <v>0</v>
      </c>
      <c r="C103" s="52">
        <f>'Scenario 2 Assumptions'!$B$6*('Scenario 2 Assumptions'!$D$61)</f>
        <v>0</v>
      </c>
      <c r="D103" s="52">
        <f>'Scenario 2 Assumptions'!$B$6*('Scenario 2 Assumptions'!$D$61)</f>
        <v>0</v>
      </c>
      <c r="E103" s="52">
        <f>'Scenario 2 Assumptions'!$B$6*('Scenario 2 Assumptions'!$D$61)</f>
        <v>0</v>
      </c>
      <c r="F103" s="52">
        <f>'Scenario 2 Assumptions'!$B$6*('Scenario 2 Assumptions'!$D$61)</f>
        <v>0</v>
      </c>
      <c r="G103" s="52">
        <f>'Scenario 2 Assumptions'!$B$6*('Scenario 2 Assumptions'!$D$61)</f>
        <v>0</v>
      </c>
      <c r="H103" s="52">
        <f>'Scenario 2 Assumptions'!$B$6*('Scenario 2 Assumptions'!$D$61)</f>
        <v>0</v>
      </c>
      <c r="I103" s="52">
        <f>'Scenario 2 Assumptions'!$B$6*('Scenario 2 Assumptions'!$D$61)</f>
        <v>0</v>
      </c>
      <c r="J103" s="52">
        <f>'Scenario 2 Assumptions'!$B$6*('Scenario 2 Assumptions'!$D$61)</f>
        <v>0</v>
      </c>
      <c r="K103" s="52">
        <f>'Scenario 2 Assumptions'!$B$6*('Scenario 2 Assumptions'!$D$61)</f>
        <v>0</v>
      </c>
      <c r="L103" s="52">
        <f>'Scenario 2 Assumptions'!$B$6*('Scenario 2 Assumptions'!$D$61)</f>
        <v>0</v>
      </c>
      <c r="M103" s="52">
        <f>'Scenario 2 Assumptions'!$B$6*('Scenario 2 Assumptions'!$D$61)</f>
        <v>0</v>
      </c>
      <c r="N103" s="52">
        <f>'Scenario 2 Assumptions'!$B$6*('Scenario 2 Assumptions'!$D$61)</f>
        <v>0</v>
      </c>
      <c r="O103" s="52">
        <f>'Scenario 2 Assumptions'!$B$6*('Scenario 2 Assumptions'!$D$61)</f>
        <v>0</v>
      </c>
      <c r="P103" s="52">
        <f>'Scenario 2 Assumptions'!$B$6*('Scenario 2 Assumptions'!$D$61)</f>
        <v>0</v>
      </c>
      <c r="Q103" s="52">
        <f>'Scenario 2 Assumptions'!$B$6*('Scenario 2 Assumptions'!$D$61)</f>
        <v>0</v>
      </c>
      <c r="R103" s="52">
        <f>'Scenario 2 Assumptions'!$B$6*('Scenario 2 Assumptions'!$D$61)</f>
        <v>0</v>
      </c>
      <c r="S103" s="52">
        <f>'Scenario 2 Assumptions'!$B$6*('Scenario 2 Assumptions'!$D$61)</f>
        <v>0</v>
      </c>
      <c r="T103" s="52">
        <f>'Scenario 2 Assumptions'!$B$6*('Scenario 2 Assumptions'!$D$61)</f>
        <v>0</v>
      </c>
      <c r="U103" s="52">
        <f>'Scenario 2 Assumptions'!$B$6*('Scenario 2 Assumptions'!$D$61)</f>
        <v>0</v>
      </c>
      <c r="V103" s="288">
        <f t="shared" si="23"/>
        <v>0</v>
      </c>
      <c r="W103" s="133">
        <f t="shared" si="24"/>
        <v>0</v>
      </c>
    </row>
    <row r="104" spans="1:23">
      <c r="A104" s="225" t="s">
        <v>1006</v>
      </c>
      <c r="B104" s="52">
        <f>'Scenario 2 Assumptions'!$B$6*('Scenario 2 Assumptions'!$D$62)</f>
        <v>1.3500000000000001E-3</v>
      </c>
      <c r="C104" s="52">
        <f>'Scenario 2 Assumptions'!$B$6*('Scenario 2 Assumptions'!$D$62)</f>
        <v>1.3500000000000001E-3</v>
      </c>
      <c r="D104" s="52">
        <f>'Scenario 2 Assumptions'!$B$6*('Scenario 2 Assumptions'!$D$62)</f>
        <v>1.3500000000000001E-3</v>
      </c>
      <c r="E104" s="52">
        <f>'Scenario 2 Assumptions'!$B$6*('Scenario 2 Assumptions'!$D$62)</f>
        <v>1.3500000000000001E-3</v>
      </c>
      <c r="F104" s="52">
        <f>'Scenario 2 Assumptions'!$B$6*('Scenario 2 Assumptions'!$D$62)</f>
        <v>1.3500000000000001E-3</v>
      </c>
      <c r="G104" s="52">
        <f>'Scenario 2 Assumptions'!$B$6*('Scenario 2 Assumptions'!$D$62)</f>
        <v>1.3500000000000001E-3</v>
      </c>
      <c r="H104" s="52">
        <f>'Scenario 2 Assumptions'!$B$6*('Scenario 2 Assumptions'!$D$62)</f>
        <v>1.3500000000000001E-3</v>
      </c>
      <c r="I104" s="52">
        <f>'Scenario 2 Assumptions'!$B$6*('Scenario 2 Assumptions'!$D$62)</f>
        <v>1.3500000000000001E-3</v>
      </c>
      <c r="J104" s="52">
        <f>'Scenario 2 Assumptions'!$B$6*('Scenario 2 Assumptions'!$D$62)</f>
        <v>1.3500000000000001E-3</v>
      </c>
      <c r="K104" s="52">
        <f>'Scenario 2 Assumptions'!$B$6*('Scenario 2 Assumptions'!$D$62)</f>
        <v>1.3500000000000001E-3</v>
      </c>
      <c r="L104" s="52">
        <f>'Scenario 2 Assumptions'!$B$6*('Scenario 2 Assumptions'!$D$62)</f>
        <v>1.3500000000000001E-3</v>
      </c>
      <c r="M104" s="52">
        <f>'Scenario 2 Assumptions'!$B$6*('Scenario 2 Assumptions'!$D$62)</f>
        <v>1.3500000000000001E-3</v>
      </c>
      <c r="N104" s="52">
        <f>'Scenario 2 Assumptions'!$B$6*('Scenario 2 Assumptions'!$D$62)</f>
        <v>1.3500000000000001E-3</v>
      </c>
      <c r="O104" s="52">
        <f>'Scenario 2 Assumptions'!$B$6*('Scenario 2 Assumptions'!$D$62)</f>
        <v>1.3500000000000001E-3</v>
      </c>
      <c r="P104" s="52">
        <f>'Scenario 2 Assumptions'!$B$6*('Scenario 2 Assumptions'!$D$62)</f>
        <v>1.3500000000000001E-3</v>
      </c>
      <c r="Q104" s="52">
        <f>'Scenario 2 Assumptions'!$B$6*('Scenario 2 Assumptions'!$D$62)</f>
        <v>1.3500000000000001E-3</v>
      </c>
      <c r="R104" s="52">
        <f>'Scenario 2 Assumptions'!$B$6*('Scenario 2 Assumptions'!$D$62)</f>
        <v>1.3500000000000001E-3</v>
      </c>
      <c r="S104" s="52">
        <f>'Scenario 2 Assumptions'!$B$6*('Scenario 2 Assumptions'!$D$62)</f>
        <v>1.3500000000000001E-3</v>
      </c>
      <c r="T104" s="52">
        <f>'Scenario 2 Assumptions'!$B$6*('Scenario 2 Assumptions'!$D$62)</f>
        <v>1.3500000000000001E-3</v>
      </c>
      <c r="U104" s="52">
        <f>'Scenario 2 Assumptions'!$B$6*('Scenario 2 Assumptions'!$D$62)</f>
        <v>1.3500000000000001E-3</v>
      </c>
      <c r="V104" s="288">
        <f t="shared" si="23"/>
        <v>2.7000000000000007E-2</v>
      </c>
      <c r="W104" s="133">
        <f t="shared" si="24"/>
        <v>1.3500000000000003E-3</v>
      </c>
    </row>
    <row r="105" spans="1:23">
      <c r="A105" s="225" t="s">
        <v>1166</v>
      </c>
      <c r="B105" s="52">
        <f>'Scenario 2 Assumptions'!$B$6*('Scenario 2 Assumptions'!$D$63)</f>
        <v>0.11272499999999999</v>
      </c>
      <c r="C105" s="52">
        <f>'Scenario 2 Assumptions'!$B$6*('Scenario 2 Assumptions'!$D$63)</f>
        <v>0.11272499999999999</v>
      </c>
      <c r="D105" s="52">
        <f>'Scenario 2 Assumptions'!$B$6*('Scenario 2 Assumptions'!$D$63)</f>
        <v>0.11272499999999999</v>
      </c>
      <c r="E105" s="52">
        <f>'Scenario 2 Assumptions'!$B$6*('Scenario 2 Assumptions'!$D$63)</f>
        <v>0.11272499999999999</v>
      </c>
      <c r="F105" s="52">
        <f>'Scenario 2 Assumptions'!$B$6*('Scenario 2 Assumptions'!$D$63)</f>
        <v>0.11272499999999999</v>
      </c>
      <c r="G105" s="52">
        <f>'Scenario 2 Assumptions'!$B$6*('Scenario 2 Assumptions'!$D$63)</f>
        <v>0.11272499999999999</v>
      </c>
      <c r="H105" s="52">
        <f>'Scenario 2 Assumptions'!$B$6*('Scenario 2 Assumptions'!$D$63)</f>
        <v>0.11272499999999999</v>
      </c>
      <c r="I105" s="52">
        <f>'Scenario 2 Assumptions'!$B$6*('Scenario 2 Assumptions'!$D$63)</f>
        <v>0.11272499999999999</v>
      </c>
      <c r="J105" s="52">
        <f>'Scenario 2 Assumptions'!$B$6*('Scenario 2 Assumptions'!$D$63)</f>
        <v>0.11272499999999999</v>
      </c>
      <c r="K105" s="52">
        <f>'Scenario 2 Assumptions'!$B$6*('Scenario 2 Assumptions'!$D$63)</f>
        <v>0.11272499999999999</v>
      </c>
      <c r="L105" s="52">
        <f>'Scenario 2 Assumptions'!$B$6*('Scenario 2 Assumptions'!$D$63)</f>
        <v>0.11272499999999999</v>
      </c>
      <c r="M105" s="52">
        <f>'Scenario 2 Assumptions'!$B$6*('Scenario 2 Assumptions'!$D$63)</f>
        <v>0.11272499999999999</v>
      </c>
      <c r="N105" s="52">
        <f>'Scenario 2 Assumptions'!$B$6*('Scenario 2 Assumptions'!$D$63)</f>
        <v>0.11272499999999999</v>
      </c>
      <c r="O105" s="52">
        <f>'Scenario 2 Assumptions'!$B$6*('Scenario 2 Assumptions'!$D$63)</f>
        <v>0.11272499999999999</v>
      </c>
      <c r="P105" s="52">
        <f>'Scenario 2 Assumptions'!$B$6*('Scenario 2 Assumptions'!$D$63)</f>
        <v>0.11272499999999999</v>
      </c>
      <c r="Q105" s="52">
        <f>'Scenario 2 Assumptions'!$B$6*('Scenario 2 Assumptions'!$D$63)</f>
        <v>0.11272499999999999</v>
      </c>
      <c r="R105" s="52">
        <f>'Scenario 2 Assumptions'!$B$6*('Scenario 2 Assumptions'!$D$63)</f>
        <v>0.11272499999999999</v>
      </c>
      <c r="S105" s="52">
        <f>'Scenario 2 Assumptions'!$B$6*('Scenario 2 Assumptions'!$D$63)</f>
        <v>0.11272499999999999</v>
      </c>
      <c r="T105" s="52">
        <f>'Scenario 2 Assumptions'!$B$6*('Scenario 2 Assumptions'!$D$63)</f>
        <v>0.11272499999999999</v>
      </c>
      <c r="U105" s="52">
        <f>'Scenario 2 Assumptions'!$B$6*('Scenario 2 Assumptions'!$D$63)</f>
        <v>0.11272499999999999</v>
      </c>
      <c r="V105" s="288">
        <f t="shared" ref="V105:V118" si="25">SUM(B105:U105)</f>
        <v>2.2545000000000002</v>
      </c>
      <c r="W105" s="133">
        <f t="shared" ref="W105:W118" si="26">V105/20</f>
        <v>0.11272500000000001</v>
      </c>
    </row>
    <row r="106" spans="1:23">
      <c r="A106" s="225" t="s">
        <v>1167</v>
      </c>
      <c r="B106" s="52">
        <f>'Scenario 2 Assumptions'!$B$6*('Scenario 2 Assumptions'!$D$64+'Scenario 2 Assumptions'!$D$65+'Scenario 2 Assumptions'!$D$66+'Scenario 2 Assumptions'!$D$67+'Scenario 2 Assumptions'!$D$68+'Scenario 2 Assumptions'!$D$69+'Scenario 2 Assumptions'!$D$70+'Scenario 2 Assumptions'!$D$71+'Scenario 2 Assumptions'!$D$72+'Scenario 2 Assumptions'!$D$73+'Scenario 2 Assumptions'!$D$74+'Scenario 2 Assumptions'!$D$75+'Scenario 2 Assumptions'!$D$76)</f>
        <v>2.2950000000000002E-2</v>
      </c>
      <c r="C106" s="52">
        <f>'Scenario 2 Assumptions'!$B$6*('Scenario 2 Assumptions'!$D$64+'Scenario 2 Assumptions'!$D$65+'Scenario 2 Assumptions'!$D$66+'Scenario 2 Assumptions'!$D$67+'Scenario 2 Assumptions'!$D$68+'Scenario 2 Assumptions'!$D$69+'Scenario 2 Assumptions'!$D$70+'Scenario 2 Assumptions'!$D$71+'Scenario 2 Assumptions'!$D$72+'Scenario 2 Assumptions'!$D$73+'Scenario 2 Assumptions'!$D$74+'Scenario 2 Assumptions'!$D$75+'Scenario 2 Assumptions'!$D$76)</f>
        <v>2.2950000000000002E-2</v>
      </c>
      <c r="D106" s="52">
        <f>'Scenario 2 Assumptions'!$B$6*('Scenario 2 Assumptions'!$D$64+'Scenario 2 Assumptions'!$D$65+'Scenario 2 Assumptions'!$D$66+'Scenario 2 Assumptions'!$D$67+'Scenario 2 Assumptions'!$D$68+'Scenario 2 Assumptions'!$D$69+'Scenario 2 Assumptions'!$D$70+'Scenario 2 Assumptions'!$D$71+'Scenario 2 Assumptions'!$D$72+'Scenario 2 Assumptions'!$D$73+'Scenario 2 Assumptions'!$D$74+'Scenario 2 Assumptions'!$D$75+'Scenario 2 Assumptions'!$D$76)</f>
        <v>2.2950000000000002E-2</v>
      </c>
      <c r="E106" s="52">
        <f>'Scenario 2 Assumptions'!$B$6*('Scenario 2 Assumptions'!$D$64+'Scenario 2 Assumptions'!$D$65+'Scenario 2 Assumptions'!$D$66+'Scenario 2 Assumptions'!$D$67+'Scenario 2 Assumptions'!$D$68+'Scenario 2 Assumptions'!$D$69+'Scenario 2 Assumptions'!$D$70+'Scenario 2 Assumptions'!$D$71+'Scenario 2 Assumptions'!$D$72+'Scenario 2 Assumptions'!$D$73+'Scenario 2 Assumptions'!$D$74+'Scenario 2 Assumptions'!$D$75+'Scenario 2 Assumptions'!$D$76)</f>
        <v>2.2950000000000002E-2</v>
      </c>
      <c r="F106" s="52">
        <f>'Scenario 2 Assumptions'!$B$6*('Scenario 2 Assumptions'!$D$64+'Scenario 2 Assumptions'!$D$65+'Scenario 2 Assumptions'!$D$66+'Scenario 2 Assumptions'!$D$67+'Scenario 2 Assumptions'!$D$68+'Scenario 2 Assumptions'!$D$69+'Scenario 2 Assumptions'!$D$70+'Scenario 2 Assumptions'!$D$71+'Scenario 2 Assumptions'!$D$72+'Scenario 2 Assumptions'!$D$73+'Scenario 2 Assumptions'!$D$74+'Scenario 2 Assumptions'!$D$75+'Scenario 2 Assumptions'!$D$76)</f>
        <v>2.2950000000000002E-2</v>
      </c>
      <c r="G106" s="52">
        <f>'Scenario 2 Assumptions'!$B$6*('Scenario 2 Assumptions'!$D$64+'Scenario 2 Assumptions'!$D$65+'Scenario 2 Assumptions'!$D$66+'Scenario 2 Assumptions'!$D$67+'Scenario 2 Assumptions'!$D$68+'Scenario 2 Assumptions'!$D$69+'Scenario 2 Assumptions'!$D$70+'Scenario 2 Assumptions'!$D$71+'Scenario 2 Assumptions'!$D$72+'Scenario 2 Assumptions'!$D$73+'Scenario 2 Assumptions'!$D$74+'Scenario 2 Assumptions'!$D$75+'Scenario 2 Assumptions'!$D$76)</f>
        <v>2.2950000000000002E-2</v>
      </c>
      <c r="H106" s="52">
        <f>'Scenario 2 Assumptions'!$B$6*('Scenario 2 Assumptions'!$D$64+'Scenario 2 Assumptions'!$D$65+'Scenario 2 Assumptions'!$D$66+'Scenario 2 Assumptions'!$D$67+'Scenario 2 Assumptions'!$D$68+'Scenario 2 Assumptions'!$D$69+'Scenario 2 Assumptions'!$D$70+'Scenario 2 Assumptions'!$D$71+'Scenario 2 Assumptions'!$D$72+'Scenario 2 Assumptions'!$D$73+'Scenario 2 Assumptions'!$D$74+'Scenario 2 Assumptions'!$D$75+'Scenario 2 Assumptions'!$D$76)</f>
        <v>2.2950000000000002E-2</v>
      </c>
      <c r="I106" s="52">
        <f>'Scenario 2 Assumptions'!$B$6*('Scenario 2 Assumptions'!$D$64+'Scenario 2 Assumptions'!$D$65+'Scenario 2 Assumptions'!$D$66+'Scenario 2 Assumptions'!$D$67+'Scenario 2 Assumptions'!$D$68+'Scenario 2 Assumptions'!$D$69+'Scenario 2 Assumptions'!$D$70+'Scenario 2 Assumptions'!$D$71+'Scenario 2 Assumptions'!$D$72+'Scenario 2 Assumptions'!$D$73+'Scenario 2 Assumptions'!$D$74+'Scenario 2 Assumptions'!$D$75+'Scenario 2 Assumptions'!$D$76)</f>
        <v>2.2950000000000002E-2</v>
      </c>
      <c r="J106" s="52">
        <f>'Scenario 2 Assumptions'!$B$6*('Scenario 2 Assumptions'!$D$64+'Scenario 2 Assumptions'!$D$65+'Scenario 2 Assumptions'!$D$66+'Scenario 2 Assumptions'!$D$67+'Scenario 2 Assumptions'!$D$68+'Scenario 2 Assumptions'!$D$69+'Scenario 2 Assumptions'!$D$70+'Scenario 2 Assumptions'!$D$71+'Scenario 2 Assumptions'!$D$72+'Scenario 2 Assumptions'!$D$73+'Scenario 2 Assumptions'!$D$74+'Scenario 2 Assumptions'!$D$75+'Scenario 2 Assumptions'!$D$76)</f>
        <v>2.2950000000000002E-2</v>
      </c>
      <c r="K106" s="52">
        <f>'Scenario 2 Assumptions'!$B$6*('Scenario 2 Assumptions'!$D$64+'Scenario 2 Assumptions'!$D$65+'Scenario 2 Assumptions'!$D$66+'Scenario 2 Assumptions'!$D$67+'Scenario 2 Assumptions'!$D$68+'Scenario 2 Assumptions'!$D$69+'Scenario 2 Assumptions'!$D$70+'Scenario 2 Assumptions'!$D$71+'Scenario 2 Assumptions'!$D$72+'Scenario 2 Assumptions'!$D$73+'Scenario 2 Assumptions'!$D$74+'Scenario 2 Assumptions'!$D$75+'Scenario 2 Assumptions'!$D$76)</f>
        <v>2.2950000000000002E-2</v>
      </c>
      <c r="L106" s="52">
        <f>'Scenario 2 Assumptions'!$B$6*('Scenario 2 Assumptions'!$D$64+'Scenario 2 Assumptions'!$D$65+'Scenario 2 Assumptions'!$D$66+'Scenario 2 Assumptions'!$D$67+'Scenario 2 Assumptions'!$D$68+'Scenario 2 Assumptions'!$D$69+'Scenario 2 Assumptions'!$D$70+'Scenario 2 Assumptions'!$D$71+'Scenario 2 Assumptions'!$D$72+'Scenario 2 Assumptions'!$D$73+'Scenario 2 Assumptions'!$D$74+'Scenario 2 Assumptions'!$D$75+'Scenario 2 Assumptions'!$D$76)</f>
        <v>2.2950000000000002E-2</v>
      </c>
      <c r="M106" s="52">
        <f>'Scenario 2 Assumptions'!$B$6*('Scenario 2 Assumptions'!$D$64+'Scenario 2 Assumptions'!$D$65+'Scenario 2 Assumptions'!$D$66+'Scenario 2 Assumptions'!$D$67+'Scenario 2 Assumptions'!$D$68+'Scenario 2 Assumptions'!$D$69+'Scenario 2 Assumptions'!$D$70+'Scenario 2 Assumptions'!$D$71+'Scenario 2 Assumptions'!$D$72+'Scenario 2 Assumptions'!$D$73+'Scenario 2 Assumptions'!$D$74+'Scenario 2 Assumptions'!$D$75+'Scenario 2 Assumptions'!$D$76)</f>
        <v>2.2950000000000002E-2</v>
      </c>
      <c r="N106" s="52">
        <f>'Scenario 2 Assumptions'!$B$6*('Scenario 2 Assumptions'!$D$64+'Scenario 2 Assumptions'!$D$65+'Scenario 2 Assumptions'!$D$66+'Scenario 2 Assumptions'!$D$67+'Scenario 2 Assumptions'!$D$68+'Scenario 2 Assumptions'!$D$69+'Scenario 2 Assumptions'!$D$70+'Scenario 2 Assumptions'!$D$71+'Scenario 2 Assumptions'!$D$72+'Scenario 2 Assumptions'!$D$73+'Scenario 2 Assumptions'!$D$74+'Scenario 2 Assumptions'!$D$75+'Scenario 2 Assumptions'!$D$76)</f>
        <v>2.2950000000000002E-2</v>
      </c>
      <c r="O106" s="52">
        <f>'Scenario 2 Assumptions'!$B$6*('Scenario 2 Assumptions'!$D$64+'Scenario 2 Assumptions'!$D$65+'Scenario 2 Assumptions'!$D$66+'Scenario 2 Assumptions'!$D$67+'Scenario 2 Assumptions'!$D$68+'Scenario 2 Assumptions'!$D$69+'Scenario 2 Assumptions'!$D$70+'Scenario 2 Assumptions'!$D$71+'Scenario 2 Assumptions'!$D$72+'Scenario 2 Assumptions'!$D$73+'Scenario 2 Assumptions'!$D$74+'Scenario 2 Assumptions'!$D$75+'Scenario 2 Assumptions'!$D$76)</f>
        <v>2.2950000000000002E-2</v>
      </c>
      <c r="P106" s="52">
        <f>'Scenario 2 Assumptions'!$B$6*('Scenario 2 Assumptions'!$D$64+'Scenario 2 Assumptions'!$D$65+'Scenario 2 Assumptions'!$D$66+'Scenario 2 Assumptions'!$D$67+'Scenario 2 Assumptions'!$D$68+'Scenario 2 Assumptions'!$D$69+'Scenario 2 Assumptions'!$D$70+'Scenario 2 Assumptions'!$D$71+'Scenario 2 Assumptions'!$D$72+'Scenario 2 Assumptions'!$D$73+'Scenario 2 Assumptions'!$D$74+'Scenario 2 Assumptions'!$D$75+'Scenario 2 Assumptions'!$D$76)</f>
        <v>2.2950000000000002E-2</v>
      </c>
      <c r="Q106" s="52">
        <f>'Scenario 2 Assumptions'!$B$6*('Scenario 2 Assumptions'!$D$64+'Scenario 2 Assumptions'!$D$65+'Scenario 2 Assumptions'!$D$66+'Scenario 2 Assumptions'!$D$67+'Scenario 2 Assumptions'!$D$68+'Scenario 2 Assumptions'!$D$69+'Scenario 2 Assumptions'!$D$70+'Scenario 2 Assumptions'!$D$71+'Scenario 2 Assumptions'!$D$72+'Scenario 2 Assumptions'!$D$73+'Scenario 2 Assumptions'!$D$74+'Scenario 2 Assumptions'!$D$75+'Scenario 2 Assumptions'!$D$76)</f>
        <v>2.2950000000000002E-2</v>
      </c>
      <c r="R106" s="52">
        <f>'Scenario 2 Assumptions'!$B$6*('Scenario 2 Assumptions'!$D$64+'Scenario 2 Assumptions'!$D$65+'Scenario 2 Assumptions'!$D$66+'Scenario 2 Assumptions'!$D$67+'Scenario 2 Assumptions'!$D$68+'Scenario 2 Assumptions'!$D$69+'Scenario 2 Assumptions'!$D$70+'Scenario 2 Assumptions'!$D$71+'Scenario 2 Assumptions'!$D$72+'Scenario 2 Assumptions'!$D$73+'Scenario 2 Assumptions'!$D$74+'Scenario 2 Assumptions'!$D$75+'Scenario 2 Assumptions'!$D$76)</f>
        <v>2.2950000000000002E-2</v>
      </c>
      <c r="S106" s="52">
        <f>'Scenario 2 Assumptions'!$B$6*('Scenario 2 Assumptions'!$D$64+'Scenario 2 Assumptions'!$D$65+'Scenario 2 Assumptions'!$D$66+'Scenario 2 Assumptions'!$D$67+'Scenario 2 Assumptions'!$D$68+'Scenario 2 Assumptions'!$D$69+'Scenario 2 Assumptions'!$D$70+'Scenario 2 Assumptions'!$D$71+'Scenario 2 Assumptions'!$D$72+'Scenario 2 Assumptions'!$D$73+'Scenario 2 Assumptions'!$D$74+'Scenario 2 Assumptions'!$D$75+'Scenario 2 Assumptions'!$D$76)</f>
        <v>2.2950000000000002E-2</v>
      </c>
      <c r="T106" s="52">
        <f>'Scenario 2 Assumptions'!$B$6*('Scenario 2 Assumptions'!$D$64+'Scenario 2 Assumptions'!$D$65+'Scenario 2 Assumptions'!$D$66+'Scenario 2 Assumptions'!$D$67+'Scenario 2 Assumptions'!$D$68+'Scenario 2 Assumptions'!$D$69+'Scenario 2 Assumptions'!$D$70+'Scenario 2 Assumptions'!$D$71+'Scenario 2 Assumptions'!$D$72+'Scenario 2 Assumptions'!$D$73+'Scenario 2 Assumptions'!$D$74+'Scenario 2 Assumptions'!$D$75+'Scenario 2 Assumptions'!$D$76)</f>
        <v>2.2950000000000002E-2</v>
      </c>
      <c r="U106" s="52">
        <f>'Scenario 2 Assumptions'!$B$6*('Scenario 2 Assumptions'!$D$64+'Scenario 2 Assumptions'!$D$65+'Scenario 2 Assumptions'!$D$66+'Scenario 2 Assumptions'!$D$67+'Scenario 2 Assumptions'!$D$68+'Scenario 2 Assumptions'!$D$69+'Scenario 2 Assumptions'!$D$70+'Scenario 2 Assumptions'!$D$71+'Scenario 2 Assumptions'!$D$72+'Scenario 2 Assumptions'!$D$73+'Scenario 2 Assumptions'!$D$74+'Scenario 2 Assumptions'!$D$75+'Scenario 2 Assumptions'!$D$76)</f>
        <v>2.2950000000000002E-2</v>
      </c>
      <c r="V106" s="288">
        <f t="shared" si="25"/>
        <v>0.45900000000000024</v>
      </c>
      <c r="W106" s="133">
        <f t="shared" si="26"/>
        <v>2.2950000000000012E-2</v>
      </c>
    </row>
    <row r="107" spans="1:23">
      <c r="A107" s="225" t="s">
        <v>995</v>
      </c>
      <c r="B107" s="52">
        <f>'Scenario 2 Assumptions'!$B$6*('Scenario 2 Assumptions'!$D$87)</f>
        <v>0</v>
      </c>
      <c r="C107" s="52">
        <f>'Scenario 2 Assumptions'!$B$6*('Scenario 2 Assumptions'!$D$87)</f>
        <v>0</v>
      </c>
      <c r="D107" s="52">
        <f>'Scenario 2 Assumptions'!$B$6*('Scenario 2 Assumptions'!$D$87)</f>
        <v>0</v>
      </c>
      <c r="E107" s="52">
        <f>'Scenario 2 Assumptions'!$B$6*('Scenario 2 Assumptions'!$D$87)</f>
        <v>0</v>
      </c>
      <c r="F107" s="52">
        <f>'Scenario 2 Assumptions'!$B$6*('Scenario 2 Assumptions'!$D$87)</f>
        <v>0</v>
      </c>
      <c r="G107" s="52">
        <f>'Scenario 2 Assumptions'!$B$6*('Scenario 2 Assumptions'!$D$87)</f>
        <v>0</v>
      </c>
      <c r="H107" s="52">
        <f>'Scenario 2 Assumptions'!$B$6*('Scenario 2 Assumptions'!$D$87)</f>
        <v>0</v>
      </c>
      <c r="I107" s="52">
        <f>'Scenario 2 Assumptions'!$B$6*('Scenario 2 Assumptions'!$D$87)</f>
        <v>0</v>
      </c>
      <c r="J107" s="52">
        <f>'Scenario 2 Assumptions'!$B$6*('Scenario 2 Assumptions'!$D$87)</f>
        <v>0</v>
      </c>
      <c r="K107" s="52">
        <f>'Scenario 2 Assumptions'!$B$6*('Scenario 2 Assumptions'!$D$87)</f>
        <v>0</v>
      </c>
      <c r="L107" s="52">
        <f>'Scenario 2 Assumptions'!$B$6*('Scenario 2 Assumptions'!$D$87)</f>
        <v>0</v>
      </c>
      <c r="M107" s="52">
        <f>'Scenario 2 Assumptions'!$B$6*('Scenario 2 Assumptions'!$D$87)</f>
        <v>0</v>
      </c>
      <c r="N107" s="52">
        <f>'Scenario 2 Assumptions'!$B$6*('Scenario 2 Assumptions'!$D$87)</f>
        <v>0</v>
      </c>
      <c r="O107" s="52">
        <f>'Scenario 2 Assumptions'!$B$6*('Scenario 2 Assumptions'!$D$87)</f>
        <v>0</v>
      </c>
      <c r="P107" s="52">
        <f>'Scenario 2 Assumptions'!$B$6*('Scenario 2 Assumptions'!$D$87)</f>
        <v>0</v>
      </c>
      <c r="Q107" s="52">
        <f>'Scenario 2 Assumptions'!$B$6*('Scenario 2 Assumptions'!$D$87)</f>
        <v>0</v>
      </c>
      <c r="R107" s="52">
        <f>'Scenario 2 Assumptions'!$B$6*('Scenario 2 Assumptions'!$D$87)</f>
        <v>0</v>
      </c>
      <c r="S107" s="52">
        <f>'Scenario 2 Assumptions'!$B$6*('Scenario 2 Assumptions'!$D$87)</f>
        <v>0</v>
      </c>
      <c r="T107" s="52">
        <f>'Scenario 2 Assumptions'!$B$6*('Scenario 2 Assumptions'!$D$87)</f>
        <v>0</v>
      </c>
      <c r="U107" s="52">
        <f>'Scenario 2 Assumptions'!$B$6*('Scenario 2 Assumptions'!$D$87)</f>
        <v>0</v>
      </c>
      <c r="V107" s="288">
        <f t="shared" si="25"/>
        <v>0</v>
      </c>
      <c r="W107" s="133">
        <f t="shared" si="26"/>
        <v>0</v>
      </c>
    </row>
    <row r="108" spans="1:23">
      <c r="A108" s="28" t="s">
        <v>1074</v>
      </c>
      <c r="B108" s="52">
        <f>'Scenario 2 Assumptions'!$B$6*('Scenario 2 Assumptions'!$D$88+'Scenario 2 Assumptions'!$D$89)</f>
        <v>1.3500000000000001E-3</v>
      </c>
      <c r="C108" s="52">
        <f>'Scenario 2 Assumptions'!$B$6*('Scenario 2 Assumptions'!$D$88+'Scenario 2 Assumptions'!$D$89)</f>
        <v>1.3500000000000001E-3</v>
      </c>
      <c r="D108" s="52">
        <f>'Scenario 2 Assumptions'!$B$6*('Scenario 2 Assumptions'!$D$88+'Scenario 2 Assumptions'!$D$89)</f>
        <v>1.3500000000000001E-3</v>
      </c>
      <c r="E108" s="52">
        <f>'Scenario 2 Assumptions'!$B$6*('Scenario 2 Assumptions'!$D$88+'Scenario 2 Assumptions'!$D$89)</f>
        <v>1.3500000000000001E-3</v>
      </c>
      <c r="F108" s="52">
        <f>'Scenario 2 Assumptions'!$B$6*('Scenario 2 Assumptions'!$D$88+'Scenario 2 Assumptions'!$D$89)</f>
        <v>1.3500000000000001E-3</v>
      </c>
      <c r="G108" s="52">
        <f>'Scenario 2 Assumptions'!$B$6*('Scenario 2 Assumptions'!$D$88+'Scenario 2 Assumptions'!$D$89)</f>
        <v>1.3500000000000001E-3</v>
      </c>
      <c r="H108" s="52">
        <f>'Scenario 2 Assumptions'!$B$6*('Scenario 2 Assumptions'!$D$88+'Scenario 2 Assumptions'!$D$89)</f>
        <v>1.3500000000000001E-3</v>
      </c>
      <c r="I108" s="52">
        <f>'Scenario 2 Assumptions'!$B$6*('Scenario 2 Assumptions'!$D$88+'Scenario 2 Assumptions'!$D$89)</f>
        <v>1.3500000000000001E-3</v>
      </c>
      <c r="J108" s="52">
        <f>'Scenario 2 Assumptions'!$B$6*('Scenario 2 Assumptions'!$D$88+'Scenario 2 Assumptions'!$D$89)</f>
        <v>1.3500000000000001E-3</v>
      </c>
      <c r="K108" s="52">
        <f>'Scenario 2 Assumptions'!$B$6*('Scenario 2 Assumptions'!$D$88+'Scenario 2 Assumptions'!$D$89)</f>
        <v>1.3500000000000001E-3</v>
      </c>
      <c r="L108" s="52">
        <f>'Scenario 2 Assumptions'!$B$6*('Scenario 2 Assumptions'!$D$88+'Scenario 2 Assumptions'!$D$89)</f>
        <v>1.3500000000000001E-3</v>
      </c>
      <c r="M108" s="52">
        <f>'Scenario 2 Assumptions'!$B$6*('Scenario 2 Assumptions'!$D$88+'Scenario 2 Assumptions'!$D$89)</f>
        <v>1.3500000000000001E-3</v>
      </c>
      <c r="N108" s="52">
        <f>'Scenario 2 Assumptions'!$B$6*('Scenario 2 Assumptions'!$D$88+'Scenario 2 Assumptions'!$D$89)</f>
        <v>1.3500000000000001E-3</v>
      </c>
      <c r="O108" s="52">
        <f>'Scenario 2 Assumptions'!$B$6*('Scenario 2 Assumptions'!$D$88+'Scenario 2 Assumptions'!$D$89)</f>
        <v>1.3500000000000001E-3</v>
      </c>
      <c r="P108" s="52">
        <f>'Scenario 2 Assumptions'!$B$6*('Scenario 2 Assumptions'!$D$88+'Scenario 2 Assumptions'!$D$89)</f>
        <v>1.3500000000000001E-3</v>
      </c>
      <c r="Q108" s="52">
        <f>'Scenario 2 Assumptions'!$B$6*('Scenario 2 Assumptions'!$D$88+'Scenario 2 Assumptions'!$D$89)</f>
        <v>1.3500000000000001E-3</v>
      </c>
      <c r="R108" s="52">
        <f>'Scenario 2 Assumptions'!$B$6*('Scenario 2 Assumptions'!$D$88+'Scenario 2 Assumptions'!$D$89)</f>
        <v>1.3500000000000001E-3</v>
      </c>
      <c r="S108" s="52">
        <f>'Scenario 2 Assumptions'!$B$6*('Scenario 2 Assumptions'!$D$88+'Scenario 2 Assumptions'!$D$89)</f>
        <v>1.3500000000000001E-3</v>
      </c>
      <c r="T108" s="52">
        <f>'Scenario 2 Assumptions'!$B$6*('Scenario 2 Assumptions'!$D$88+'Scenario 2 Assumptions'!$D$89)</f>
        <v>1.3500000000000001E-3</v>
      </c>
      <c r="U108" s="52">
        <f>'Scenario 2 Assumptions'!$B$6*('Scenario 2 Assumptions'!$D$88+'Scenario 2 Assumptions'!$D$89)</f>
        <v>1.3500000000000001E-3</v>
      </c>
      <c r="V108" s="288">
        <f t="shared" si="25"/>
        <v>2.7000000000000007E-2</v>
      </c>
      <c r="W108" s="133">
        <f t="shared" si="26"/>
        <v>1.3500000000000003E-3</v>
      </c>
    </row>
    <row r="109" spans="1:23">
      <c r="A109" s="225" t="s">
        <v>1081</v>
      </c>
      <c r="B109" s="52">
        <f>'Scenario 2 Assumptions'!$B$6*('Scenario 2 Assumptions'!$D$90+'Scenario 2 Assumptions'!$D$91)</f>
        <v>8.6400000000000005E-2</v>
      </c>
      <c r="C109" s="52">
        <f>'Scenario 2 Assumptions'!$B$6*('Scenario 2 Assumptions'!$D$90+'Scenario 2 Assumptions'!$D$91)</f>
        <v>8.6400000000000005E-2</v>
      </c>
      <c r="D109" s="52">
        <f>'Scenario 2 Assumptions'!$B$6*('Scenario 2 Assumptions'!$D$90+'Scenario 2 Assumptions'!$D$91)</f>
        <v>8.6400000000000005E-2</v>
      </c>
      <c r="E109" s="52">
        <f>'Scenario 2 Assumptions'!$B$6*('Scenario 2 Assumptions'!$D$90+'Scenario 2 Assumptions'!$D$91)</f>
        <v>8.6400000000000005E-2</v>
      </c>
      <c r="F109" s="52">
        <f>'Scenario 2 Assumptions'!$B$6*('Scenario 2 Assumptions'!$D$90+'Scenario 2 Assumptions'!$D$91)</f>
        <v>8.6400000000000005E-2</v>
      </c>
      <c r="G109" s="52">
        <f>'Scenario 2 Assumptions'!$B$6*('Scenario 2 Assumptions'!$D$90+'Scenario 2 Assumptions'!$D$91)</f>
        <v>8.6400000000000005E-2</v>
      </c>
      <c r="H109" s="52">
        <f>'Scenario 2 Assumptions'!$B$6*('Scenario 2 Assumptions'!$D$90+'Scenario 2 Assumptions'!$D$91)</f>
        <v>8.6400000000000005E-2</v>
      </c>
      <c r="I109" s="52">
        <f>'Scenario 2 Assumptions'!$B$6*('Scenario 2 Assumptions'!$D$90+'Scenario 2 Assumptions'!$D$91)</f>
        <v>8.6400000000000005E-2</v>
      </c>
      <c r="J109" s="52">
        <f>'Scenario 2 Assumptions'!$B$6*('Scenario 2 Assumptions'!$D$90+'Scenario 2 Assumptions'!$D$91)</f>
        <v>8.6400000000000005E-2</v>
      </c>
      <c r="K109" s="52">
        <f>'Scenario 2 Assumptions'!$B$6*('Scenario 2 Assumptions'!$D$90+'Scenario 2 Assumptions'!$D$91)</f>
        <v>8.6400000000000005E-2</v>
      </c>
      <c r="L109" s="52">
        <f>'Scenario 2 Assumptions'!$B$6*('Scenario 2 Assumptions'!$D$90+'Scenario 2 Assumptions'!$D$91)</f>
        <v>8.6400000000000005E-2</v>
      </c>
      <c r="M109" s="52">
        <f>'Scenario 2 Assumptions'!$B$6*('Scenario 2 Assumptions'!$D$90+'Scenario 2 Assumptions'!$D$91)</f>
        <v>8.6400000000000005E-2</v>
      </c>
      <c r="N109" s="52">
        <f>'Scenario 2 Assumptions'!$B$6*('Scenario 2 Assumptions'!$D$90+'Scenario 2 Assumptions'!$D$91)</f>
        <v>8.6400000000000005E-2</v>
      </c>
      <c r="O109" s="52">
        <f>'Scenario 2 Assumptions'!$B$6*('Scenario 2 Assumptions'!$D$90+'Scenario 2 Assumptions'!$D$91)</f>
        <v>8.6400000000000005E-2</v>
      </c>
      <c r="P109" s="52">
        <f>'Scenario 2 Assumptions'!$B$6*('Scenario 2 Assumptions'!$D$90+'Scenario 2 Assumptions'!$D$91)</f>
        <v>8.6400000000000005E-2</v>
      </c>
      <c r="Q109" s="52">
        <f>'Scenario 2 Assumptions'!$B$6*('Scenario 2 Assumptions'!$D$90+'Scenario 2 Assumptions'!$D$91)</f>
        <v>8.6400000000000005E-2</v>
      </c>
      <c r="R109" s="52">
        <f>'Scenario 2 Assumptions'!$B$6*('Scenario 2 Assumptions'!$D$90+'Scenario 2 Assumptions'!$D$91)</f>
        <v>8.6400000000000005E-2</v>
      </c>
      <c r="S109" s="52">
        <f>'Scenario 2 Assumptions'!$B$6*('Scenario 2 Assumptions'!$D$90+'Scenario 2 Assumptions'!$D$91)</f>
        <v>8.6400000000000005E-2</v>
      </c>
      <c r="T109" s="52">
        <f>'Scenario 2 Assumptions'!$B$6*('Scenario 2 Assumptions'!$D$90+'Scenario 2 Assumptions'!$D$91)</f>
        <v>8.6400000000000005E-2</v>
      </c>
      <c r="U109" s="52">
        <f>'Scenario 2 Assumptions'!$B$6*('Scenario 2 Assumptions'!$D$90+'Scenario 2 Assumptions'!$D$91)</f>
        <v>8.6400000000000005E-2</v>
      </c>
      <c r="V109" s="288">
        <f t="shared" si="25"/>
        <v>1.7280000000000004</v>
      </c>
      <c r="W109" s="133">
        <f t="shared" si="26"/>
        <v>8.6400000000000018E-2</v>
      </c>
    </row>
    <row r="110" spans="1:23">
      <c r="A110" s="28" t="s">
        <v>1075</v>
      </c>
      <c r="B110" s="52">
        <f>'Scenario 2 Assumptions'!$B$6*('Scenario 2 Assumptions'!$D$92+'Scenario 2 Assumptions'!$D$93)</f>
        <v>1.3500000000000001E-3</v>
      </c>
      <c r="C110" s="52">
        <f>'Scenario 2 Assumptions'!$B$6*('Scenario 2 Assumptions'!$D$92+'Scenario 2 Assumptions'!$D$93)</f>
        <v>1.3500000000000001E-3</v>
      </c>
      <c r="D110" s="52">
        <f>'Scenario 2 Assumptions'!$B$6*('Scenario 2 Assumptions'!$D$92+'Scenario 2 Assumptions'!$D$93)</f>
        <v>1.3500000000000001E-3</v>
      </c>
      <c r="E110" s="52">
        <f>'Scenario 2 Assumptions'!$B$6*('Scenario 2 Assumptions'!$D$92+'Scenario 2 Assumptions'!$D$93)</f>
        <v>1.3500000000000001E-3</v>
      </c>
      <c r="F110" s="52">
        <f>'Scenario 2 Assumptions'!$B$6*('Scenario 2 Assumptions'!$D$92+'Scenario 2 Assumptions'!$D$93)</f>
        <v>1.3500000000000001E-3</v>
      </c>
      <c r="G110" s="52">
        <f>'Scenario 2 Assumptions'!$B$6*('Scenario 2 Assumptions'!$D$92+'Scenario 2 Assumptions'!$D$93)</f>
        <v>1.3500000000000001E-3</v>
      </c>
      <c r="H110" s="52">
        <f>'Scenario 2 Assumptions'!$B$6*('Scenario 2 Assumptions'!$D$92+'Scenario 2 Assumptions'!$D$93)</f>
        <v>1.3500000000000001E-3</v>
      </c>
      <c r="I110" s="52">
        <f>'Scenario 2 Assumptions'!$B$6*('Scenario 2 Assumptions'!$D$92+'Scenario 2 Assumptions'!$D$93)</f>
        <v>1.3500000000000001E-3</v>
      </c>
      <c r="J110" s="52">
        <f>'Scenario 2 Assumptions'!$B$6*('Scenario 2 Assumptions'!$D$92+'Scenario 2 Assumptions'!$D$93)</f>
        <v>1.3500000000000001E-3</v>
      </c>
      <c r="K110" s="52">
        <f>'Scenario 2 Assumptions'!$B$6*('Scenario 2 Assumptions'!$D$92+'Scenario 2 Assumptions'!$D$93)</f>
        <v>1.3500000000000001E-3</v>
      </c>
      <c r="L110" s="52">
        <f>'Scenario 2 Assumptions'!$B$6*('Scenario 2 Assumptions'!$D$92+'Scenario 2 Assumptions'!$D$93)</f>
        <v>1.3500000000000001E-3</v>
      </c>
      <c r="M110" s="52">
        <f>'Scenario 2 Assumptions'!$B$6*('Scenario 2 Assumptions'!$D$92+'Scenario 2 Assumptions'!$D$93)</f>
        <v>1.3500000000000001E-3</v>
      </c>
      <c r="N110" s="52">
        <f>'Scenario 2 Assumptions'!$B$6*('Scenario 2 Assumptions'!$D$92+'Scenario 2 Assumptions'!$D$93)</f>
        <v>1.3500000000000001E-3</v>
      </c>
      <c r="O110" s="52">
        <f>'Scenario 2 Assumptions'!$B$6*('Scenario 2 Assumptions'!$D$92+'Scenario 2 Assumptions'!$D$93)</f>
        <v>1.3500000000000001E-3</v>
      </c>
      <c r="P110" s="52">
        <f>'Scenario 2 Assumptions'!$B$6*('Scenario 2 Assumptions'!$D$92+'Scenario 2 Assumptions'!$D$93)</f>
        <v>1.3500000000000001E-3</v>
      </c>
      <c r="Q110" s="52">
        <f>'Scenario 2 Assumptions'!$B$6*('Scenario 2 Assumptions'!$D$92+'Scenario 2 Assumptions'!$D$93)</f>
        <v>1.3500000000000001E-3</v>
      </c>
      <c r="R110" s="52">
        <f>'Scenario 2 Assumptions'!$B$6*('Scenario 2 Assumptions'!$D$92+'Scenario 2 Assumptions'!$D$93)</f>
        <v>1.3500000000000001E-3</v>
      </c>
      <c r="S110" s="52">
        <f>'Scenario 2 Assumptions'!$B$6*('Scenario 2 Assumptions'!$D$92+'Scenario 2 Assumptions'!$D$93)</f>
        <v>1.3500000000000001E-3</v>
      </c>
      <c r="T110" s="52">
        <f>'Scenario 2 Assumptions'!$B$6*('Scenario 2 Assumptions'!$D$92+'Scenario 2 Assumptions'!$D$93)</f>
        <v>1.3500000000000001E-3</v>
      </c>
      <c r="U110" s="52">
        <f>'Scenario 2 Assumptions'!$B$6*('Scenario 2 Assumptions'!$D$92+'Scenario 2 Assumptions'!$D$93)</f>
        <v>1.3500000000000001E-3</v>
      </c>
      <c r="V110" s="288">
        <f t="shared" si="25"/>
        <v>2.7000000000000007E-2</v>
      </c>
      <c r="W110" s="133">
        <f t="shared" si="26"/>
        <v>1.3500000000000003E-3</v>
      </c>
    </row>
    <row r="111" spans="1:23">
      <c r="A111" s="28" t="s">
        <v>1070</v>
      </c>
      <c r="B111" s="52">
        <f>'Scenario 2 Assumptions'!$B$6*('Scenario 2 Assumptions'!$D$94)</f>
        <v>1.9574999999999999E-2</v>
      </c>
      <c r="C111" s="52">
        <f>'Scenario 2 Assumptions'!$B$6*('Scenario 2 Assumptions'!$D$94)</f>
        <v>1.9574999999999999E-2</v>
      </c>
      <c r="D111" s="52">
        <f>'Scenario 2 Assumptions'!$B$6*('Scenario 2 Assumptions'!$D$94)</f>
        <v>1.9574999999999999E-2</v>
      </c>
      <c r="E111" s="52">
        <f>'Scenario 2 Assumptions'!$B$6*('Scenario 2 Assumptions'!$D$94)</f>
        <v>1.9574999999999999E-2</v>
      </c>
      <c r="F111" s="52">
        <f>'Scenario 2 Assumptions'!$B$6*('Scenario 2 Assumptions'!$D$94)</f>
        <v>1.9574999999999999E-2</v>
      </c>
      <c r="G111" s="52">
        <f>'Scenario 2 Assumptions'!$B$6*('Scenario 2 Assumptions'!$D$94)</f>
        <v>1.9574999999999999E-2</v>
      </c>
      <c r="H111" s="52">
        <f>'Scenario 2 Assumptions'!$B$6*('Scenario 2 Assumptions'!$D$94)</f>
        <v>1.9574999999999999E-2</v>
      </c>
      <c r="I111" s="52">
        <f>'Scenario 2 Assumptions'!$B$6*('Scenario 2 Assumptions'!$D$94)</f>
        <v>1.9574999999999999E-2</v>
      </c>
      <c r="J111" s="52">
        <f>'Scenario 2 Assumptions'!$B$6*('Scenario 2 Assumptions'!$D$94)</f>
        <v>1.9574999999999999E-2</v>
      </c>
      <c r="K111" s="52">
        <f>'Scenario 2 Assumptions'!$B$6*('Scenario 2 Assumptions'!$D$94)</f>
        <v>1.9574999999999999E-2</v>
      </c>
      <c r="L111" s="52">
        <f>'Scenario 2 Assumptions'!$B$6*('Scenario 2 Assumptions'!$D$94)</f>
        <v>1.9574999999999999E-2</v>
      </c>
      <c r="M111" s="52">
        <f>'Scenario 2 Assumptions'!$B$6*('Scenario 2 Assumptions'!$D$94)</f>
        <v>1.9574999999999999E-2</v>
      </c>
      <c r="N111" s="52">
        <f>'Scenario 2 Assumptions'!$B$6*('Scenario 2 Assumptions'!$D$94)</f>
        <v>1.9574999999999999E-2</v>
      </c>
      <c r="O111" s="52">
        <f>'Scenario 2 Assumptions'!$B$6*('Scenario 2 Assumptions'!$D$94)</f>
        <v>1.9574999999999999E-2</v>
      </c>
      <c r="P111" s="52">
        <f>'Scenario 2 Assumptions'!$B$6*('Scenario 2 Assumptions'!$D$94)</f>
        <v>1.9574999999999999E-2</v>
      </c>
      <c r="Q111" s="52">
        <f>'Scenario 2 Assumptions'!$B$6*('Scenario 2 Assumptions'!$D$94)</f>
        <v>1.9574999999999999E-2</v>
      </c>
      <c r="R111" s="52">
        <f>'Scenario 2 Assumptions'!$B$6*('Scenario 2 Assumptions'!$D$94)</f>
        <v>1.9574999999999999E-2</v>
      </c>
      <c r="S111" s="52">
        <f>'Scenario 2 Assumptions'!$B$6*('Scenario 2 Assumptions'!$D$94)</f>
        <v>1.9574999999999999E-2</v>
      </c>
      <c r="T111" s="52">
        <f>'Scenario 2 Assumptions'!$B$6*('Scenario 2 Assumptions'!$D$94)</f>
        <v>1.9574999999999999E-2</v>
      </c>
      <c r="U111" s="52">
        <f>'Scenario 2 Assumptions'!$B$6*('Scenario 2 Assumptions'!$D$94)</f>
        <v>1.9574999999999999E-2</v>
      </c>
      <c r="V111" s="288">
        <f t="shared" si="25"/>
        <v>0.39150000000000007</v>
      </c>
      <c r="W111" s="133">
        <f t="shared" si="26"/>
        <v>1.9575000000000002E-2</v>
      </c>
    </row>
    <row r="112" spans="1:23">
      <c r="A112" s="28"/>
      <c r="B112" s="52"/>
      <c r="C112" s="52"/>
      <c r="D112" s="52"/>
      <c r="E112" s="52"/>
      <c r="F112" s="52"/>
      <c r="G112" s="52"/>
      <c r="H112" s="52"/>
      <c r="I112" s="52"/>
      <c r="J112" s="52"/>
      <c r="K112" s="52"/>
      <c r="L112" s="52"/>
      <c r="M112" s="52"/>
      <c r="N112" s="52"/>
      <c r="O112" s="52"/>
      <c r="P112" s="52"/>
      <c r="Q112" s="52"/>
      <c r="R112" s="52"/>
      <c r="S112" s="52"/>
      <c r="T112" s="52"/>
      <c r="U112" s="52"/>
      <c r="V112" s="288"/>
      <c r="W112" s="133"/>
    </row>
    <row r="113" spans="1:23">
      <c r="A113" s="10" t="s">
        <v>646</v>
      </c>
      <c r="B113" s="52"/>
      <c r="C113" s="52"/>
      <c r="D113" s="52"/>
      <c r="E113" s="52"/>
      <c r="F113" s="52"/>
      <c r="G113" s="52"/>
      <c r="H113" s="52"/>
      <c r="I113" s="52"/>
      <c r="J113" s="52"/>
      <c r="K113" s="52"/>
      <c r="L113" s="52"/>
      <c r="M113" s="52"/>
      <c r="N113" s="52"/>
      <c r="O113" s="52"/>
      <c r="P113" s="52"/>
      <c r="Q113" s="52"/>
      <c r="R113" s="52"/>
      <c r="S113" s="52"/>
      <c r="T113" s="52"/>
      <c r="U113" s="52"/>
      <c r="V113" s="288"/>
      <c r="W113" s="133"/>
    </row>
    <row r="114" spans="1:23" ht="38.25">
      <c r="A114" s="327" t="s">
        <v>707</v>
      </c>
      <c r="B114" s="52">
        <f>'Scenario 2 Assumptions'!$C$285*'Scenario 2 Assumptions'!$B$279</f>
        <v>0.189</v>
      </c>
      <c r="C114" s="52">
        <f>'Scenario 2 Assumptions'!$C$285*'Scenario 2 Assumptions'!$B$279</f>
        <v>0.189</v>
      </c>
      <c r="D114" s="52">
        <f>'Scenario 2 Assumptions'!$C$285*'Scenario 2 Assumptions'!$B$279</f>
        <v>0.189</v>
      </c>
      <c r="E114" s="52">
        <f>'Scenario 2 Assumptions'!$C$285*'Scenario 2 Assumptions'!$B$279</f>
        <v>0.189</v>
      </c>
      <c r="F114" s="52">
        <f>'Scenario 2 Assumptions'!$C$285*'Scenario 2 Assumptions'!$B$279</f>
        <v>0.189</v>
      </c>
      <c r="G114" s="52">
        <f>'Scenario 2 Assumptions'!$C$285*'Scenario 2 Assumptions'!$B$279</f>
        <v>0.189</v>
      </c>
      <c r="H114" s="52">
        <f>'Scenario 2 Assumptions'!$C$285*'Scenario 2 Assumptions'!$B$279</f>
        <v>0.189</v>
      </c>
      <c r="I114" s="52">
        <f>'Scenario 2 Assumptions'!$C$285*'Scenario 2 Assumptions'!$B$279</f>
        <v>0.189</v>
      </c>
      <c r="J114" s="52">
        <f>'Scenario 2 Assumptions'!$C$285*'Scenario 2 Assumptions'!$B$279</f>
        <v>0.189</v>
      </c>
      <c r="K114" s="52">
        <f>'Scenario 2 Assumptions'!$C$285*'Scenario 2 Assumptions'!$B$279</f>
        <v>0.189</v>
      </c>
      <c r="L114" s="52">
        <f>'Scenario 2 Assumptions'!$C$285*'Scenario 2 Assumptions'!$B$279</f>
        <v>0.189</v>
      </c>
      <c r="M114" s="52">
        <f>'Scenario 2 Assumptions'!$C$285*'Scenario 2 Assumptions'!$B$279</f>
        <v>0.189</v>
      </c>
      <c r="N114" s="52">
        <f>'Scenario 2 Assumptions'!$C$285*'Scenario 2 Assumptions'!$B$279</f>
        <v>0.189</v>
      </c>
      <c r="O114" s="52">
        <f>'Scenario 2 Assumptions'!$C$285*'Scenario 2 Assumptions'!$B$279</f>
        <v>0.189</v>
      </c>
      <c r="P114" s="52">
        <f>'Scenario 2 Assumptions'!$C$285*'Scenario 2 Assumptions'!$B$279</f>
        <v>0.189</v>
      </c>
      <c r="Q114" s="52">
        <f>'Scenario 2 Assumptions'!$C$285*'Scenario 2 Assumptions'!$B$279</f>
        <v>0.189</v>
      </c>
      <c r="R114" s="52">
        <f>'Scenario 2 Assumptions'!$C$285*'Scenario 2 Assumptions'!$B$279</f>
        <v>0.189</v>
      </c>
      <c r="S114" s="52">
        <f>'Scenario 2 Assumptions'!$C$285*'Scenario 2 Assumptions'!$B$279</f>
        <v>0.189</v>
      </c>
      <c r="T114" s="52">
        <f>'Scenario 2 Assumptions'!$C$285*'Scenario 2 Assumptions'!$B$279</f>
        <v>0.189</v>
      </c>
      <c r="U114" s="52">
        <f>'Scenario 2 Assumptions'!$C$285*'Scenario 2 Assumptions'!$B$279</f>
        <v>0.189</v>
      </c>
      <c r="V114" s="288">
        <f t="shared" ref="V114" si="27">SUM(B114:U114)</f>
        <v>3.7800000000000007</v>
      </c>
      <c r="W114" s="133">
        <f t="shared" ref="W114" si="28">V114/20</f>
        <v>0.18900000000000003</v>
      </c>
    </row>
    <row r="115" spans="1:23">
      <c r="A115" s="28"/>
      <c r="B115" s="52"/>
      <c r="C115" s="52"/>
      <c r="D115" s="52"/>
      <c r="E115" s="52"/>
      <c r="F115" s="52"/>
      <c r="G115" s="52"/>
      <c r="H115" s="52"/>
      <c r="I115" s="52"/>
      <c r="J115" s="52"/>
      <c r="K115" s="52"/>
      <c r="L115" s="52"/>
      <c r="M115" s="52"/>
      <c r="N115" s="52"/>
      <c r="O115" s="52"/>
      <c r="P115" s="52"/>
      <c r="Q115" s="52"/>
      <c r="R115" s="52"/>
      <c r="S115" s="52"/>
      <c r="T115" s="52"/>
      <c r="U115" s="52"/>
      <c r="V115" s="288"/>
      <c r="W115" s="133"/>
    </row>
    <row r="116" spans="1:23" s="100" customFormat="1">
      <c r="A116" s="197" t="s">
        <v>18</v>
      </c>
      <c r="V116" s="179"/>
      <c r="W116" s="132"/>
    </row>
    <row r="117" spans="1:23">
      <c r="A117" s="10" t="s">
        <v>1159</v>
      </c>
      <c r="B117" s="52"/>
      <c r="C117" s="52"/>
      <c r="D117" s="52"/>
      <c r="E117" s="52"/>
      <c r="F117" s="52"/>
      <c r="G117" s="52"/>
      <c r="H117" s="52"/>
      <c r="I117" s="52"/>
      <c r="J117" s="52"/>
      <c r="K117" s="52"/>
      <c r="L117" s="52"/>
      <c r="M117" s="52"/>
      <c r="N117" s="52"/>
      <c r="O117" s="52"/>
      <c r="P117" s="52"/>
      <c r="Q117" s="52"/>
      <c r="R117" s="52"/>
      <c r="S117" s="52"/>
      <c r="T117" s="52"/>
      <c r="U117" s="52"/>
      <c r="V117" s="288"/>
      <c r="W117" s="133"/>
    </row>
    <row r="118" spans="1:23">
      <c r="A118" s="28" t="s">
        <v>605</v>
      </c>
      <c r="B118" s="52">
        <f>'Scenario 2 Assumptions'!$B$169</f>
        <v>3.8574999999999998E-2</v>
      </c>
      <c r="C118" s="52">
        <f>'Scenario 2 Assumptions'!$B$169</f>
        <v>3.8574999999999998E-2</v>
      </c>
      <c r="D118" s="52">
        <f>'Scenario 2 Assumptions'!$B$169</f>
        <v>3.8574999999999998E-2</v>
      </c>
      <c r="E118" s="52">
        <f>'Scenario 2 Assumptions'!$B$169</f>
        <v>3.8574999999999998E-2</v>
      </c>
      <c r="F118" s="52">
        <f>'Scenario 2 Assumptions'!$B$169</f>
        <v>3.8574999999999998E-2</v>
      </c>
      <c r="G118" s="52">
        <f>'Scenario 2 Assumptions'!$B$169</f>
        <v>3.8574999999999998E-2</v>
      </c>
      <c r="H118" s="52">
        <f>'Scenario 2 Assumptions'!$B$169</f>
        <v>3.8574999999999998E-2</v>
      </c>
      <c r="I118" s="52">
        <f>'Scenario 2 Assumptions'!$B$169</f>
        <v>3.8574999999999998E-2</v>
      </c>
      <c r="J118" s="52">
        <f>'Scenario 2 Assumptions'!$B$169</f>
        <v>3.8574999999999998E-2</v>
      </c>
      <c r="K118" s="52">
        <f>'Scenario 2 Assumptions'!$B$169</f>
        <v>3.8574999999999998E-2</v>
      </c>
      <c r="L118" s="52">
        <f>'Scenario 2 Assumptions'!$B$169</f>
        <v>3.8574999999999998E-2</v>
      </c>
      <c r="M118" s="52">
        <f>'Scenario 2 Assumptions'!$B$169</f>
        <v>3.8574999999999998E-2</v>
      </c>
      <c r="N118" s="52">
        <f>'Scenario 2 Assumptions'!$B$169</f>
        <v>3.8574999999999998E-2</v>
      </c>
      <c r="O118" s="52">
        <f>'Scenario 2 Assumptions'!$B$169</f>
        <v>3.8574999999999998E-2</v>
      </c>
      <c r="P118" s="52">
        <f>'Scenario 2 Assumptions'!$B$169</f>
        <v>3.8574999999999998E-2</v>
      </c>
      <c r="Q118" s="52">
        <f>'Scenario 2 Assumptions'!$B$169</f>
        <v>3.8574999999999998E-2</v>
      </c>
      <c r="R118" s="52">
        <f>'Scenario 2 Assumptions'!$B$169</f>
        <v>3.8574999999999998E-2</v>
      </c>
      <c r="S118" s="52">
        <f>'Scenario 2 Assumptions'!$B$169</f>
        <v>3.8574999999999998E-2</v>
      </c>
      <c r="T118" s="52">
        <f>'Scenario 2 Assumptions'!$B$169</f>
        <v>3.8574999999999998E-2</v>
      </c>
      <c r="U118" s="52">
        <f>'Scenario 2 Assumptions'!$B$169</f>
        <v>3.8574999999999998E-2</v>
      </c>
      <c r="V118" s="288">
        <f t="shared" si="25"/>
        <v>0.7715000000000003</v>
      </c>
      <c r="W118" s="133">
        <f t="shared" si="26"/>
        <v>3.8575000000000012E-2</v>
      </c>
    </row>
    <row r="119" spans="1:23">
      <c r="A119" s="28"/>
      <c r="B119" s="52"/>
      <c r="C119" s="52"/>
      <c r="D119" s="52"/>
      <c r="E119" s="52"/>
      <c r="F119" s="52"/>
      <c r="G119" s="52"/>
      <c r="H119" s="52"/>
      <c r="I119" s="52"/>
      <c r="J119" s="52"/>
      <c r="K119" s="52"/>
      <c r="L119" s="52"/>
      <c r="M119" s="52"/>
      <c r="N119" s="52"/>
      <c r="O119" s="52"/>
      <c r="P119" s="52"/>
      <c r="Q119" s="52"/>
      <c r="R119" s="52"/>
      <c r="S119" s="52"/>
      <c r="T119" s="52"/>
      <c r="U119" s="52"/>
      <c r="V119" s="288"/>
      <c r="W119" s="133"/>
    </row>
    <row r="120" spans="1:23" s="100" customFormat="1" ht="13.5" customHeight="1">
      <c r="A120" s="10" t="s">
        <v>1160</v>
      </c>
      <c r="B120" s="52"/>
      <c r="C120" s="52"/>
      <c r="D120" s="52"/>
      <c r="E120" s="52"/>
      <c r="F120" s="52"/>
      <c r="G120" s="52"/>
      <c r="H120" s="52"/>
      <c r="I120" s="52"/>
      <c r="J120" s="52"/>
      <c r="K120" s="52"/>
      <c r="L120" s="52"/>
      <c r="M120" s="52"/>
      <c r="N120" s="52"/>
      <c r="O120" s="52"/>
      <c r="P120" s="52"/>
      <c r="Q120" s="52"/>
      <c r="R120" s="52"/>
      <c r="S120" s="52"/>
      <c r="T120" s="52"/>
      <c r="U120" s="52"/>
      <c r="V120" s="180"/>
      <c r="W120" s="133"/>
    </row>
    <row r="121" spans="1:23" s="100" customFormat="1" ht="13.5" customHeight="1">
      <c r="A121" s="100" t="s">
        <v>659</v>
      </c>
      <c r="B121" s="52"/>
      <c r="C121" s="52"/>
      <c r="D121" s="52"/>
      <c r="E121" s="52"/>
      <c r="F121" s="52"/>
      <c r="G121" s="52"/>
      <c r="H121" s="52"/>
      <c r="I121" s="52"/>
      <c r="J121" s="52"/>
      <c r="K121" s="52"/>
      <c r="L121" s="52"/>
      <c r="M121" s="52"/>
      <c r="N121" s="52"/>
      <c r="O121" s="52"/>
      <c r="P121" s="52"/>
      <c r="Q121" s="52"/>
      <c r="R121" s="52"/>
      <c r="S121" s="52"/>
      <c r="T121" s="52"/>
      <c r="U121" s="52"/>
      <c r="V121" s="180"/>
      <c r="W121" s="133"/>
    </row>
    <row r="122" spans="1:23" s="100" customFormat="1" ht="13.5" customHeight="1">
      <c r="B122" s="52"/>
      <c r="C122" s="52"/>
      <c r="D122" s="52"/>
      <c r="E122" s="52"/>
      <c r="F122" s="52"/>
      <c r="G122" s="52"/>
      <c r="H122" s="52"/>
      <c r="I122" s="52"/>
      <c r="J122" s="52"/>
      <c r="K122" s="52"/>
      <c r="L122" s="52"/>
      <c r="M122" s="52"/>
      <c r="N122" s="52"/>
      <c r="O122" s="52"/>
      <c r="P122" s="52"/>
      <c r="Q122" s="52"/>
      <c r="R122" s="52"/>
      <c r="S122" s="52"/>
      <c r="T122" s="52"/>
      <c r="U122" s="52"/>
      <c r="V122" s="180"/>
      <c r="W122" s="133"/>
    </row>
    <row r="123" spans="1:23">
      <c r="A123" s="197" t="s">
        <v>1340</v>
      </c>
      <c r="B123" s="52"/>
      <c r="C123" s="52"/>
      <c r="D123" s="52"/>
      <c r="E123" s="52"/>
      <c r="F123" s="52"/>
      <c r="G123" s="52"/>
      <c r="H123" s="52"/>
      <c r="I123" s="52"/>
      <c r="J123" s="52"/>
      <c r="K123" s="52"/>
      <c r="L123" s="52"/>
      <c r="M123" s="52"/>
      <c r="N123" s="52"/>
      <c r="O123" s="52"/>
      <c r="P123" s="52"/>
      <c r="Q123" s="52"/>
      <c r="R123" s="52"/>
      <c r="S123" s="52"/>
      <c r="T123" s="52"/>
      <c r="U123" s="52"/>
      <c r="V123" s="288"/>
      <c r="W123" s="133"/>
    </row>
    <row r="124" spans="1:23" s="173" customFormat="1">
      <c r="A124" s="100" t="s">
        <v>1031</v>
      </c>
      <c r="B124" s="52">
        <f>B118</f>
        <v>3.8574999999999998E-2</v>
      </c>
      <c r="C124" s="52">
        <f t="shared" ref="C124:U124" si="29">C118</f>
        <v>3.8574999999999998E-2</v>
      </c>
      <c r="D124" s="52">
        <f t="shared" si="29"/>
        <v>3.8574999999999998E-2</v>
      </c>
      <c r="E124" s="52">
        <f t="shared" si="29"/>
        <v>3.8574999999999998E-2</v>
      </c>
      <c r="F124" s="52">
        <f t="shared" si="29"/>
        <v>3.8574999999999998E-2</v>
      </c>
      <c r="G124" s="52">
        <f t="shared" si="29"/>
        <v>3.8574999999999998E-2</v>
      </c>
      <c r="H124" s="52">
        <f t="shared" si="29"/>
        <v>3.8574999999999998E-2</v>
      </c>
      <c r="I124" s="52">
        <f t="shared" si="29"/>
        <v>3.8574999999999998E-2</v>
      </c>
      <c r="J124" s="52">
        <f t="shared" si="29"/>
        <v>3.8574999999999998E-2</v>
      </c>
      <c r="K124" s="52">
        <f t="shared" si="29"/>
        <v>3.8574999999999998E-2</v>
      </c>
      <c r="L124" s="52">
        <f t="shared" si="29"/>
        <v>3.8574999999999998E-2</v>
      </c>
      <c r="M124" s="52">
        <f t="shared" si="29"/>
        <v>3.8574999999999998E-2</v>
      </c>
      <c r="N124" s="52">
        <f t="shared" si="29"/>
        <v>3.8574999999999998E-2</v>
      </c>
      <c r="O124" s="52">
        <f t="shared" si="29"/>
        <v>3.8574999999999998E-2</v>
      </c>
      <c r="P124" s="52">
        <f t="shared" si="29"/>
        <v>3.8574999999999998E-2</v>
      </c>
      <c r="Q124" s="52">
        <f t="shared" si="29"/>
        <v>3.8574999999999998E-2</v>
      </c>
      <c r="R124" s="52">
        <f t="shared" si="29"/>
        <v>3.8574999999999998E-2</v>
      </c>
      <c r="S124" s="52">
        <f t="shared" si="29"/>
        <v>3.8574999999999998E-2</v>
      </c>
      <c r="T124" s="52">
        <f t="shared" si="29"/>
        <v>3.8574999999999998E-2</v>
      </c>
      <c r="U124" s="52">
        <f t="shared" si="29"/>
        <v>3.8574999999999998E-2</v>
      </c>
      <c r="V124" s="180">
        <f t="shared" si="23"/>
        <v>0.7715000000000003</v>
      </c>
      <c r="W124" s="133">
        <f t="shared" si="24"/>
        <v>3.8575000000000012E-2</v>
      </c>
    </row>
    <row r="125" spans="1:23" s="99" customFormat="1" ht="13.5" customHeight="1">
      <c r="A125" s="100" t="s">
        <v>1036</v>
      </c>
      <c r="B125" s="148">
        <f t="shared" ref="B125:U125" si="30">SUM(B73:B90,B96:B111,B114)</f>
        <v>0.65947500000000014</v>
      </c>
      <c r="C125" s="148">
        <f t="shared" si="30"/>
        <v>0.48397500000000004</v>
      </c>
      <c r="D125" s="148">
        <f t="shared" si="30"/>
        <v>0.48397500000000004</v>
      </c>
      <c r="E125" s="148">
        <f t="shared" si="30"/>
        <v>0.65947500000000014</v>
      </c>
      <c r="F125" s="148">
        <f t="shared" si="30"/>
        <v>0.48397500000000004</v>
      </c>
      <c r="G125" s="148">
        <f t="shared" si="30"/>
        <v>0.48397500000000004</v>
      </c>
      <c r="H125" s="148">
        <f t="shared" si="30"/>
        <v>0.65947500000000014</v>
      </c>
      <c r="I125" s="148">
        <f t="shared" si="30"/>
        <v>0.48397500000000004</v>
      </c>
      <c r="J125" s="148">
        <f t="shared" si="30"/>
        <v>0.48397500000000004</v>
      </c>
      <c r="K125" s="148">
        <f t="shared" si="30"/>
        <v>0.65947500000000014</v>
      </c>
      <c r="L125" s="148">
        <f t="shared" si="30"/>
        <v>0.48397500000000004</v>
      </c>
      <c r="M125" s="148">
        <f t="shared" si="30"/>
        <v>0.48397500000000004</v>
      </c>
      <c r="N125" s="148">
        <f t="shared" si="30"/>
        <v>0.65947500000000014</v>
      </c>
      <c r="O125" s="148">
        <f t="shared" si="30"/>
        <v>0.48397500000000004</v>
      </c>
      <c r="P125" s="148">
        <f t="shared" si="30"/>
        <v>0.48397500000000004</v>
      </c>
      <c r="Q125" s="148">
        <f t="shared" si="30"/>
        <v>0.65947500000000014</v>
      </c>
      <c r="R125" s="148">
        <f t="shared" si="30"/>
        <v>0.48397500000000004</v>
      </c>
      <c r="S125" s="148">
        <f t="shared" si="30"/>
        <v>0.48397500000000004</v>
      </c>
      <c r="T125" s="148">
        <f t="shared" si="30"/>
        <v>0.65947500000000014</v>
      </c>
      <c r="U125" s="148">
        <f t="shared" si="30"/>
        <v>0.48397500000000004</v>
      </c>
      <c r="V125" s="180">
        <f t="shared" ref="V125:V126" si="31">SUM(B125:U125)</f>
        <v>10.908000000000005</v>
      </c>
      <c r="W125" s="133">
        <f t="shared" ref="W125:W126" si="32">V125/20</f>
        <v>0.54540000000000022</v>
      </c>
    </row>
    <row r="126" spans="1:23" s="99" customFormat="1" ht="25.5">
      <c r="A126" s="377" t="s">
        <v>1353</v>
      </c>
      <c r="B126" s="148">
        <f>('Scenario 2 Assumptions'!$B$6*('Scenario 2 Assumptions'!$D$96))+B114+(('Scenario 2 Assumptions'!$D$190+'Scenario 2 Assumptions'!$D$191+'Scenario 2 Assumptions'!$D$192+'Scenario 2 Assumptions'!$D$193+'Scenario 2 Assumptions'!$D$194+'Scenario 2 Assumptions'!$D$195+'Scenario 2 Assumptions'!$D$196+'Scenario 2 Assumptions'!$D$197+'Scenario 2 Assumptions'!$D$198+'Scenario 2 Assumptions'!$D$199+'Scenario 2 Assumptions'!$D$200+'Scenario 2 Assumptions'!$D$201+'Scenario 2 Assumptions'!$D$202+'Scenario 2 Assumptions'!$D$203+'Scenario 2 Assumptions'!$D$206+'Scenario 2 Assumptions'!$D$207+'Scenario 2 Assumptions'!$D$208+'Scenario 2 Assumptions'!$D$209+'Scenario 2 Assumptions'!$D$210+'Scenario 2 Assumptions'!$D$211+'Scenario 2 Assumptions'!$D$212+'Scenario 2 Assumptions'!$D$213+'Scenario 2 Assumptions'!$D$214)*'Scenario 2 Assumptions'!$B$176)</f>
        <v>0.60547499999999999</v>
      </c>
      <c r="C126" s="148">
        <f>('Scenario 2 Assumptions'!$B$6*('Scenario 2 Assumptions'!$D$96))+C114</f>
        <v>0.45022500000000004</v>
      </c>
      <c r="D126" s="148">
        <f>('Scenario 2 Assumptions'!$B$6*('Scenario 2 Assumptions'!$D$96))+D114</f>
        <v>0.45022500000000004</v>
      </c>
      <c r="E126" s="148">
        <f>('Scenario 2 Assumptions'!$B$6*('Scenario 2 Assumptions'!$D$96))+E114+(('Scenario 2 Assumptions'!$D$190+'Scenario 2 Assumptions'!$D$191+'Scenario 2 Assumptions'!$D$192+'Scenario 2 Assumptions'!$D$193+'Scenario 2 Assumptions'!$D$194+'Scenario 2 Assumptions'!$D$195+'Scenario 2 Assumptions'!$D$196+'Scenario 2 Assumptions'!$D$197+'Scenario 2 Assumptions'!$D$198+'Scenario 2 Assumptions'!$D$199+'Scenario 2 Assumptions'!$D$200+'Scenario 2 Assumptions'!$D$201+'Scenario 2 Assumptions'!$D$202+'Scenario 2 Assumptions'!$D$203+'Scenario 2 Assumptions'!$D$206+'Scenario 2 Assumptions'!$D$207+'Scenario 2 Assumptions'!$D$208+'Scenario 2 Assumptions'!$D$209+'Scenario 2 Assumptions'!$D$210+'Scenario 2 Assumptions'!$D$211+'Scenario 2 Assumptions'!$D$212+'Scenario 2 Assumptions'!$D$213+'Scenario 2 Assumptions'!$D$214)*'Scenario 2 Assumptions'!$B$176)</f>
        <v>0.60547499999999999</v>
      </c>
      <c r="F126" s="148">
        <f>('Scenario 2 Assumptions'!$B$6*('Scenario 2 Assumptions'!$D$96))+F114</f>
        <v>0.45022500000000004</v>
      </c>
      <c r="G126" s="148">
        <f>('Scenario 2 Assumptions'!$B$6*('Scenario 2 Assumptions'!$D$96))+G114</f>
        <v>0.45022500000000004</v>
      </c>
      <c r="H126" s="148">
        <f>('Scenario 2 Assumptions'!$B$6*('Scenario 2 Assumptions'!$D$96))+H114+(('Scenario 2 Assumptions'!$D$190+'Scenario 2 Assumptions'!$D$191+'Scenario 2 Assumptions'!$D$192+'Scenario 2 Assumptions'!$D$193+'Scenario 2 Assumptions'!$D$194+'Scenario 2 Assumptions'!$D$195+'Scenario 2 Assumptions'!$D$196+'Scenario 2 Assumptions'!$D$197+'Scenario 2 Assumptions'!$D$198+'Scenario 2 Assumptions'!$D$199+'Scenario 2 Assumptions'!$D$200+'Scenario 2 Assumptions'!$D$201+'Scenario 2 Assumptions'!$D$202+'Scenario 2 Assumptions'!$D$203+'Scenario 2 Assumptions'!$D$206+'Scenario 2 Assumptions'!$D$207+'Scenario 2 Assumptions'!$D$208+'Scenario 2 Assumptions'!$D$209+'Scenario 2 Assumptions'!$D$210+'Scenario 2 Assumptions'!$D$211+'Scenario 2 Assumptions'!$D$212+'Scenario 2 Assumptions'!$D$213+'Scenario 2 Assumptions'!$D$214)*'Scenario 2 Assumptions'!$B$176)</f>
        <v>0.60547499999999999</v>
      </c>
      <c r="I126" s="148">
        <f>('Scenario 2 Assumptions'!$B$6*('Scenario 2 Assumptions'!$D$96))+I114</f>
        <v>0.45022500000000004</v>
      </c>
      <c r="J126" s="148">
        <f>('Scenario 2 Assumptions'!$B$6*('Scenario 2 Assumptions'!$D$96))+J114</f>
        <v>0.45022500000000004</v>
      </c>
      <c r="K126" s="148">
        <f>('Scenario 2 Assumptions'!$B$6*('Scenario 2 Assumptions'!$D$96))+K114+(('Scenario 2 Assumptions'!$D$190+'Scenario 2 Assumptions'!$D$191+'Scenario 2 Assumptions'!$D$192+'Scenario 2 Assumptions'!$D$193+'Scenario 2 Assumptions'!$D$194+'Scenario 2 Assumptions'!$D$195+'Scenario 2 Assumptions'!$D$196+'Scenario 2 Assumptions'!$D$197+'Scenario 2 Assumptions'!$D$198+'Scenario 2 Assumptions'!$D$199+'Scenario 2 Assumptions'!$D$200+'Scenario 2 Assumptions'!$D$201+'Scenario 2 Assumptions'!$D$202+'Scenario 2 Assumptions'!$D$203+'Scenario 2 Assumptions'!$D$206+'Scenario 2 Assumptions'!$D$207+'Scenario 2 Assumptions'!$D$208+'Scenario 2 Assumptions'!$D$209+'Scenario 2 Assumptions'!$D$210+'Scenario 2 Assumptions'!$D$211+'Scenario 2 Assumptions'!$D$212+'Scenario 2 Assumptions'!$D$213+'Scenario 2 Assumptions'!$D$214)*'Scenario 2 Assumptions'!$B$176)</f>
        <v>0.60547499999999999</v>
      </c>
      <c r="L126" s="148">
        <f>('Scenario 2 Assumptions'!$B$6*('Scenario 2 Assumptions'!$D$96))+L114</f>
        <v>0.45022500000000004</v>
      </c>
      <c r="M126" s="148">
        <f>('Scenario 2 Assumptions'!$B$6*('Scenario 2 Assumptions'!$D$96))+M114</f>
        <v>0.45022500000000004</v>
      </c>
      <c r="N126" s="148">
        <f>('Scenario 2 Assumptions'!$B$6*('Scenario 2 Assumptions'!$D$96))+N114+(('Scenario 2 Assumptions'!$D$190+'Scenario 2 Assumptions'!$D$191+'Scenario 2 Assumptions'!$D$192+'Scenario 2 Assumptions'!$D$193+'Scenario 2 Assumptions'!$D$194+'Scenario 2 Assumptions'!$D$195+'Scenario 2 Assumptions'!$D$196+'Scenario 2 Assumptions'!$D$197+'Scenario 2 Assumptions'!$D$198+'Scenario 2 Assumptions'!$D$199+'Scenario 2 Assumptions'!$D$200+'Scenario 2 Assumptions'!$D$201+'Scenario 2 Assumptions'!$D$202+'Scenario 2 Assumptions'!$D$203+'Scenario 2 Assumptions'!$D$206+'Scenario 2 Assumptions'!$D$207+'Scenario 2 Assumptions'!$D$208+'Scenario 2 Assumptions'!$D$209+'Scenario 2 Assumptions'!$D$210+'Scenario 2 Assumptions'!$D$211+'Scenario 2 Assumptions'!$D$212+'Scenario 2 Assumptions'!$D$213+'Scenario 2 Assumptions'!$D$214)*'Scenario 2 Assumptions'!$B$176)</f>
        <v>0.60547499999999999</v>
      </c>
      <c r="O126" s="148">
        <f>('Scenario 2 Assumptions'!$B$6*('Scenario 2 Assumptions'!$D$96))+O114</f>
        <v>0.45022500000000004</v>
      </c>
      <c r="P126" s="148">
        <f>('Scenario 2 Assumptions'!$B$6*('Scenario 2 Assumptions'!$D$96))+P114</f>
        <v>0.45022500000000004</v>
      </c>
      <c r="Q126" s="148">
        <f>('Scenario 2 Assumptions'!$B$6*('Scenario 2 Assumptions'!$D$96))+Q114+(('Scenario 2 Assumptions'!$D$190+'Scenario 2 Assumptions'!$D$191+'Scenario 2 Assumptions'!$D$192+'Scenario 2 Assumptions'!$D$193+'Scenario 2 Assumptions'!$D$194+'Scenario 2 Assumptions'!$D$195+'Scenario 2 Assumptions'!$D$196+'Scenario 2 Assumptions'!$D$197+'Scenario 2 Assumptions'!$D$198+'Scenario 2 Assumptions'!$D$199+'Scenario 2 Assumptions'!$D$200+'Scenario 2 Assumptions'!$D$201+'Scenario 2 Assumptions'!$D$202+'Scenario 2 Assumptions'!$D$203+'Scenario 2 Assumptions'!$D$206+'Scenario 2 Assumptions'!$D$207+'Scenario 2 Assumptions'!$D$208+'Scenario 2 Assumptions'!$D$209+'Scenario 2 Assumptions'!$D$210+'Scenario 2 Assumptions'!$D$211+'Scenario 2 Assumptions'!$D$212+'Scenario 2 Assumptions'!$D$213+'Scenario 2 Assumptions'!$D$214)*'Scenario 2 Assumptions'!$B$176)</f>
        <v>0.60547499999999999</v>
      </c>
      <c r="R126" s="148">
        <f>('Scenario 2 Assumptions'!$B$6*('Scenario 2 Assumptions'!$D$96))+R114</f>
        <v>0.45022500000000004</v>
      </c>
      <c r="S126" s="148">
        <f>('Scenario 2 Assumptions'!$B$6*('Scenario 2 Assumptions'!$D$96))+S114</f>
        <v>0.45022500000000004</v>
      </c>
      <c r="T126" s="148">
        <f>('Scenario 2 Assumptions'!$B$6*('Scenario 2 Assumptions'!$D$96))+T114+(('Scenario 2 Assumptions'!$D$190+'Scenario 2 Assumptions'!$D$191+'Scenario 2 Assumptions'!$D$192+'Scenario 2 Assumptions'!$D$193+'Scenario 2 Assumptions'!$D$194+'Scenario 2 Assumptions'!$D$195+'Scenario 2 Assumptions'!$D$196+'Scenario 2 Assumptions'!$D$197+'Scenario 2 Assumptions'!$D$198+'Scenario 2 Assumptions'!$D$199+'Scenario 2 Assumptions'!$D$200+'Scenario 2 Assumptions'!$D$201+'Scenario 2 Assumptions'!$D$202+'Scenario 2 Assumptions'!$D$203+'Scenario 2 Assumptions'!$D$206+'Scenario 2 Assumptions'!$D$207+'Scenario 2 Assumptions'!$D$208+'Scenario 2 Assumptions'!$D$209+'Scenario 2 Assumptions'!$D$210+'Scenario 2 Assumptions'!$D$211+'Scenario 2 Assumptions'!$D$212+'Scenario 2 Assumptions'!$D$213+'Scenario 2 Assumptions'!$D$214)*'Scenario 2 Assumptions'!$B$176)</f>
        <v>0.60547499999999999</v>
      </c>
      <c r="U126" s="148">
        <f>('Scenario 2 Assumptions'!$B$6*('Scenario 2 Assumptions'!$D$96))+U114</f>
        <v>0.45022500000000004</v>
      </c>
      <c r="V126" s="180">
        <f t="shared" si="31"/>
        <v>10.091249999999997</v>
      </c>
      <c r="W126" s="133">
        <f t="shared" si="32"/>
        <v>0.5045624999999998</v>
      </c>
    </row>
    <row r="127" spans="1:23" s="3" customFormat="1" ht="13.5" customHeight="1">
      <c r="A127" s="100" t="s">
        <v>1032</v>
      </c>
      <c r="B127" s="52">
        <f t="shared" ref="B127:U127" si="33">B124+B125</f>
        <v>0.69805000000000017</v>
      </c>
      <c r="C127" s="52">
        <f t="shared" si="33"/>
        <v>0.52255000000000007</v>
      </c>
      <c r="D127" s="52">
        <f t="shared" si="33"/>
        <v>0.52255000000000007</v>
      </c>
      <c r="E127" s="52">
        <f t="shared" si="33"/>
        <v>0.69805000000000017</v>
      </c>
      <c r="F127" s="52">
        <f t="shared" si="33"/>
        <v>0.52255000000000007</v>
      </c>
      <c r="G127" s="52">
        <f t="shared" si="33"/>
        <v>0.52255000000000007</v>
      </c>
      <c r="H127" s="52">
        <f t="shared" si="33"/>
        <v>0.69805000000000017</v>
      </c>
      <c r="I127" s="52">
        <f t="shared" si="33"/>
        <v>0.52255000000000007</v>
      </c>
      <c r="J127" s="52">
        <f t="shared" si="33"/>
        <v>0.52255000000000007</v>
      </c>
      <c r="K127" s="52">
        <f t="shared" si="33"/>
        <v>0.69805000000000017</v>
      </c>
      <c r="L127" s="52">
        <f t="shared" si="33"/>
        <v>0.52255000000000007</v>
      </c>
      <c r="M127" s="52">
        <f t="shared" si="33"/>
        <v>0.52255000000000007</v>
      </c>
      <c r="N127" s="52">
        <f t="shared" si="33"/>
        <v>0.69805000000000017</v>
      </c>
      <c r="O127" s="52">
        <f t="shared" si="33"/>
        <v>0.52255000000000007</v>
      </c>
      <c r="P127" s="52">
        <f t="shared" si="33"/>
        <v>0.52255000000000007</v>
      </c>
      <c r="Q127" s="52">
        <f t="shared" si="33"/>
        <v>0.69805000000000017</v>
      </c>
      <c r="R127" s="52">
        <f t="shared" si="33"/>
        <v>0.52255000000000007</v>
      </c>
      <c r="S127" s="52">
        <f t="shared" si="33"/>
        <v>0.52255000000000007</v>
      </c>
      <c r="T127" s="52">
        <f t="shared" si="33"/>
        <v>0.69805000000000017</v>
      </c>
      <c r="U127" s="52">
        <f t="shared" si="33"/>
        <v>0.52255000000000007</v>
      </c>
      <c r="V127" s="288">
        <f>SUM(B127:U127)</f>
        <v>11.679500000000004</v>
      </c>
      <c r="W127" s="133">
        <f>V127/20</f>
        <v>0.58397500000000024</v>
      </c>
    </row>
    <row r="128" spans="1:23" s="3" customFormat="1" ht="13.5" customHeight="1">
      <c r="A128" s="4" t="s">
        <v>709</v>
      </c>
      <c r="B128" s="34">
        <f t="shared" ref="B128:U128" si="34">B124+B126</f>
        <v>0.64405000000000001</v>
      </c>
      <c r="C128" s="34">
        <f t="shared" si="34"/>
        <v>0.48880000000000001</v>
      </c>
      <c r="D128" s="34">
        <f t="shared" si="34"/>
        <v>0.48880000000000001</v>
      </c>
      <c r="E128" s="34">
        <f t="shared" si="34"/>
        <v>0.64405000000000001</v>
      </c>
      <c r="F128" s="34">
        <f t="shared" si="34"/>
        <v>0.48880000000000001</v>
      </c>
      <c r="G128" s="34">
        <f t="shared" si="34"/>
        <v>0.48880000000000001</v>
      </c>
      <c r="H128" s="34">
        <f t="shared" si="34"/>
        <v>0.64405000000000001</v>
      </c>
      <c r="I128" s="34">
        <f t="shared" si="34"/>
        <v>0.48880000000000001</v>
      </c>
      <c r="J128" s="34">
        <f t="shared" si="34"/>
        <v>0.48880000000000001</v>
      </c>
      <c r="K128" s="34">
        <f t="shared" si="34"/>
        <v>0.64405000000000001</v>
      </c>
      <c r="L128" s="34">
        <f t="shared" si="34"/>
        <v>0.48880000000000001</v>
      </c>
      <c r="M128" s="34">
        <f t="shared" si="34"/>
        <v>0.48880000000000001</v>
      </c>
      <c r="N128" s="34">
        <f t="shared" si="34"/>
        <v>0.64405000000000001</v>
      </c>
      <c r="O128" s="34">
        <f t="shared" si="34"/>
        <v>0.48880000000000001</v>
      </c>
      <c r="P128" s="34">
        <f t="shared" si="34"/>
        <v>0.48880000000000001</v>
      </c>
      <c r="Q128" s="34">
        <f t="shared" si="34"/>
        <v>0.64405000000000001</v>
      </c>
      <c r="R128" s="34">
        <f t="shared" si="34"/>
        <v>0.48880000000000001</v>
      </c>
      <c r="S128" s="34">
        <f t="shared" si="34"/>
        <v>0.48880000000000001</v>
      </c>
      <c r="T128" s="34">
        <f t="shared" si="34"/>
        <v>0.64405000000000001</v>
      </c>
      <c r="U128" s="34">
        <f t="shared" si="34"/>
        <v>0.48880000000000001</v>
      </c>
      <c r="V128" s="289">
        <f>SUM(B128:U128)</f>
        <v>10.86275</v>
      </c>
      <c r="W128" s="35">
        <f>V128/20</f>
        <v>0.54313750000000005</v>
      </c>
    </row>
    <row r="129" spans="1:23" ht="13.5" customHeight="1">
      <c r="A129" s="165" t="s">
        <v>123</v>
      </c>
      <c r="B129" s="52">
        <v>0.96618357487922713</v>
      </c>
      <c r="C129" s="52">
        <v>0.93351070036640305</v>
      </c>
      <c r="D129" s="52">
        <v>0.90194270566802237</v>
      </c>
      <c r="E129" s="52">
        <v>0.87144222769857238</v>
      </c>
      <c r="F129" s="52">
        <v>0.84197316685852419</v>
      </c>
      <c r="G129" s="52">
        <v>0.81350064430775282</v>
      </c>
      <c r="H129" s="52">
        <v>0.78599096068381913</v>
      </c>
      <c r="I129" s="52">
        <v>0.75941155621625056</v>
      </c>
      <c r="J129" s="52">
        <v>0.73373097218961414</v>
      </c>
      <c r="K129" s="52">
        <v>0.70891881370977217</v>
      </c>
      <c r="L129" s="52">
        <v>0.68494571372924851</v>
      </c>
      <c r="M129" s="52">
        <v>0.66178329828912896</v>
      </c>
      <c r="N129" s="52">
        <v>0.63940415293635666</v>
      </c>
      <c r="O129" s="52">
        <v>0.61778179027667302</v>
      </c>
      <c r="P129" s="52">
        <v>0.59689061862480497</v>
      </c>
      <c r="Q129" s="52">
        <v>0.57670591171478747</v>
      </c>
      <c r="R129" s="52">
        <v>0.55720377943457733</v>
      </c>
      <c r="S129" s="52">
        <v>0.53836113955031628</v>
      </c>
      <c r="T129" s="52">
        <v>0.52015569038677911</v>
      </c>
      <c r="U129" s="52">
        <v>0.50256588443167061</v>
      </c>
      <c r="V129" s="289"/>
      <c r="W129" s="35"/>
    </row>
    <row r="130" spans="1:23" s="81" customFormat="1" ht="13.5" customHeight="1">
      <c r="A130" s="100" t="s">
        <v>1153</v>
      </c>
      <c r="B130" s="52">
        <f>B129*B127</f>
        <v>0.67444444444444462</v>
      </c>
      <c r="C130" s="52">
        <f t="shared" ref="C130:U130" si="35">C129*C127</f>
        <v>0.48780601647646399</v>
      </c>
      <c r="D130" s="52">
        <f t="shared" si="35"/>
        <v>0.47131016084682514</v>
      </c>
      <c r="E130" s="52">
        <f t="shared" si="35"/>
        <v>0.60831024704498859</v>
      </c>
      <c r="F130" s="52">
        <f t="shared" si="35"/>
        <v>0.4399730783419219</v>
      </c>
      <c r="G130" s="52">
        <f t="shared" si="35"/>
        <v>0.4250947616830163</v>
      </c>
      <c r="H130" s="52">
        <f t="shared" si="35"/>
        <v>0.54866099010534009</v>
      </c>
      <c r="I130" s="52">
        <f t="shared" si="35"/>
        <v>0.39683050870080178</v>
      </c>
      <c r="J130" s="52">
        <f t="shared" si="35"/>
        <v>0.38341111951768292</v>
      </c>
      <c r="K130" s="52">
        <f t="shared" si="35"/>
        <v>0.49486077791010658</v>
      </c>
      <c r="L130" s="52">
        <f t="shared" si="35"/>
        <v>0.35791838270921883</v>
      </c>
      <c r="M130" s="52">
        <f t="shared" si="35"/>
        <v>0.34581486252098437</v>
      </c>
      <c r="N130" s="52">
        <f t="shared" si="35"/>
        <v>0.44633606895722389</v>
      </c>
      <c r="O130" s="52">
        <f t="shared" si="35"/>
        <v>0.32282187450907551</v>
      </c>
      <c r="P130" s="52">
        <f t="shared" si="35"/>
        <v>0.31190519276239187</v>
      </c>
      <c r="Q130" s="52">
        <f t="shared" si="35"/>
        <v>0.40256956167250751</v>
      </c>
      <c r="R130" s="52">
        <f t="shared" si="35"/>
        <v>0.2911668349435384</v>
      </c>
      <c r="S130" s="52">
        <f t="shared" si="35"/>
        <v>0.28132061347201781</v>
      </c>
      <c r="T130" s="52">
        <f t="shared" si="35"/>
        <v>0.36309467967449127</v>
      </c>
      <c r="U130" s="52">
        <f t="shared" si="35"/>
        <v>0.26261580290976949</v>
      </c>
      <c r="V130" s="180">
        <f>SUM(B130:U130)</f>
        <v>8.3162659792028109</v>
      </c>
      <c r="W130" s="35"/>
    </row>
    <row r="131" spans="1:23" s="3" customFormat="1" ht="27" customHeight="1">
      <c r="A131" s="260" t="s">
        <v>1152</v>
      </c>
      <c r="B131" s="34">
        <f>B129*B128</f>
        <v>0.62227053140096622</v>
      </c>
      <c r="C131" s="34">
        <f t="shared" ref="C131:U131" si="36">C129*C128</f>
        <v>0.45630003033909783</v>
      </c>
      <c r="D131" s="34">
        <f t="shared" si="36"/>
        <v>0.44086959453052932</v>
      </c>
      <c r="E131" s="34">
        <f t="shared" si="36"/>
        <v>0.5612523667492656</v>
      </c>
      <c r="F131" s="34">
        <f t="shared" si="36"/>
        <v>0.41155648396044664</v>
      </c>
      <c r="G131" s="34">
        <f t="shared" si="36"/>
        <v>0.3976391149376296</v>
      </c>
      <c r="H131" s="34">
        <f t="shared" si="36"/>
        <v>0.50621747822841368</v>
      </c>
      <c r="I131" s="34">
        <f t="shared" si="36"/>
        <v>0.37120036867850326</v>
      </c>
      <c r="J131" s="34">
        <f t="shared" si="36"/>
        <v>0.35864769920628342</v>
      </c>
      <c r="K131" s="34">
        <f t="shared" si="36"/>
        <v>0.45657916196977877</v>
      </c>
      <c r="L131" s="34">
        <f t="shared" si="36"/>
        <v>0.33480146487085666</v>
      </c>
      <c r="M131" s="34">
        <f t="shared" si="36"/>
        <v>0.32347967620372625</v>
      </c>
      <c r="N131" s="34">
        <f t="shared" si="36"/>
        <v>0.41180824469866051</v>
      </c>
      <c r="O131" s="34">
        <f t="shared" si="36"/>
        <v>0.30197173908723779</v>
      </c>
      <c r="P131" s="34">
        <f t="shared" si="36"/>
        <v>0.29176013438380466</v>
      </c>
      <c r="Q131" s="34">
        <f t="shared" si="36"/>
        <v>0.37142744243990888</v>
      </c>
      <c r="R131" s="34">
        <f t="shared" si="36"/>
        <v>0.27236120738762143</v>
      </c>
      <c r="S131" s="34">
        <f t="shared" si="36"/>
        <v>0.26315092501219461</v>
      </c>
      <c r="T131" s="34">
        <f t="shared" si="36"/>
        <v>0.33500627239360509</v>
      </c>
      <c r="U131" s="34">
        <f t="shared" si="36"/>
        <v>0.2456542043102006</v>
      </c>
      <c r="V131" s="380">
        <f>SUM(B131:U131)</f>
        <v>7.7339541407887316</v>
      </c>
      <c r="W131" s="35"/>
    </row>
    <row r="132" spans="1:23" s="3" customFormat="1">
      <c r="A132" s="260"/>
      <c r="B132" s="34"/>
      <c r="C132" s="34"/>
      <c r="D132" s="34"/>
      <c r="E132" s="34"/>
      <c r="F132" s="34"/>
      <c r="G132" s="34"/>
      <c r="H132" s="34"/>
      <c r="I132" s="34"/>
      <c r="J132" s="34"/>
      <c r="K132" s="34"/>
      <c r="L132" s="34"/>
      <c r="M132" s="34"/>
      <c r="N132" s="34"/>
      <c r="O132" s="34"/>
      <c r="P132" s="34"/>
      <c r="Q132" s="34"/>
      <c r="R132" s="34"/>
      <c r="S132" s="34"/>
      <c r="T132" s="34"/>
      <c r="U132" s="34"/>
      <c r="V132" s="182"/>
      <c r="W132" s="35"/>
    </row>
    <row r="133" spans="1:23" s="3" customFormat="1" ht="25.5">
      <c r="A133" s="286" t="s">
        <v>1349</v>
      </c>
      <c r="B133" s="284">
        <f>('Scenario 2 Assumptions'!$D$190+'Scenario 2 Assumptions'!$D$191+'Scenario 2 Assumptions'!$D$192+'Scenario 2 Assumptions'!$D$193+'Scenario 2 Assumptions'!$D$194+'Scenario 2 Assumptions'!$D$195+'Scenario 2 Assumptions'!$D$196+'Scenario 2 Assumptions'!$D$197+'Scenario 2 Assumptions'!$D$198+'Scenario 2 Assumptions'!$D$199+'Scenario 2 Assumptions'!$D$200+'Scenario 2 Assumptions'!$D$201+'Scenario 2 Assumptions'!$D$202+'Scenario 2 Assumptions'!$D$203+'Scenario 2 Assumptions'!$D$206+'Scenario 2 Assumptions'!$D$207+'Scenario 2 Assumptions'!$D$208+'Scenario 2 Assumptions'!$D$209+'Scenario 2 Assumptions'!$D$210+'Scenario 2 Assumptions'!$D$211+'Scenario 2 Assumptions'!$D$212+'Scenario 2 Assumptions'!$D$213+'Scenario 2 Assumptions'!$D$214)*'Scenario 2 Assumptions'!$B$176</f>
        <v>0.15525</v>
      </c>
      <c r="C133" s="284">
        <v>0</v>
      </c>
      <c r="D133" s="284">
        <v>0</v>
      </c>
      <c r="E133" s="284">
        <f>('Scenario 2 Assumptions'!$D$190+'Scenario 2 Assumptions'!$D$191+'Scenario 2 Assumptions'!$D$192+'Scenario 2 Assumptions'!$D$193+'Scenario 2 Assumptions'!$D$194+'Scenario 2 Assumptions'!$D$195+'Scenario 2 Assumptions'!$D$196+'Scenario 2 Assumptions'!$D$197+'Scenario 2 Assumptions'!$D$198+'Scenario 2 Assumptions'!$D$199+'Scenario 2 Assumptions'!$D$200+'Scenario 2 Assumptions'!$D$201+'Scenario 2 Assumptions'!$D$202+'Scenario 2 Assumptions'!$D$203+'Scenario 2 Assumptions'!$D$206+'Scenario 2 Assumptions'!$D$207+'Scenario 2 Assumptions'!$D$208+'Scenario 2 Assumptions'!$D$209+'Scenario 2 Assumptions'!$D$210+'Scenario 2 Assumptions'!$D$211+'Scenario 2 Assumptions'!$D$212+'Scenario 2 Assumptions'!$D$213+'Scenario 2 Assumptions'!$D$214)*'Scenario 2 Assumptions'!$B$176</f>
        <v>0.15525</v>
      </c>
      <c r="F133" s="284">
        <v>0</v>
      </c>
      <c r="G133" s="284">
        <v>0</v>
      </c>
      <c r="H133" s="284">
        <f>('Scenario 2 Assumptions'!$D$190+'Scenario 2 Assumptions'!$D$191+'Scenario 2 Assumptions'!$D$192+'Scenario 2 Assumptions'!$D$193+'Scenario 2 Assumptions'!$D$194+'Scenario 2 Assumptions'!$D$195+'Scenario 2 Assumptions'!$D$196+'Scenario 2 Assumptions'!$D$197+'Scenario 2 Assumptions'!$D$198+'Scenario 2 Assumptions'!$D$199+'Scenario 2 Assumptions'!$D$200+'Scenario 2 Assumptions'!$D$201+'Scenario 2 Assumptions'!$D$202+'Scenario 2 Assumptions'!$D$203+'Scenario 2 Assumptions'!$D$206+'Scenario 2 Assumptions'!$D$207+'Scenario 2 Assumptions'!$D$208+'Scenario 2 Assumptions'!$D$209+'Scenario 2 Assumptions'!$D$210+'Scenario 2 Assumptions'!$D$211+'Scenario 2 Assumptions'!$D$212+'Scenario 2 Assumptions'!$D$213+'Scenario 2 Assumptions'!$D$214)*'Scenario 2 Assumptions'!$B$176</f>
        <v>0.15525</v>
      </c>
      <c r="I133" s="284">
        <v>0</v>
      </c>
      <c r="J133" s="284">
        <v>0</v>
      </c>
      <c r="K133" s="284">
        <f>('Scenario 2 Assumptions'!$D$190+'Scenario 2 Assumptions'!$D$191+'Scenario 2 Assumptions'!$D$192+'Scenario 2 Assumptions'!$D$193+'Scenario 2 Assumptions'!$D$194+'Scenario 2 Assumptions'!$D$195+'Scenario 2 Assumptions'!$D$196+'Scenario 2 Assumptions'!$D$197+'Scenario 2 Assumptions'!$D$198+'Scenario 2 Assumptions'!$D$199+'Scenario 2 Assumptions'!$D$200+'Scenario 2 Assumptions'!$D$201+'Scenario 2 Assumptions'!$D$202+'Scenario 2 Assumptions'!$D$203+'Scenario 2 Assumptions'!$D$206+'Scenario 2 Assumptions'!$D$207+'Scenario 2 Assumptions'!$D$208+'Scenario 2 Assumptions'!$D$209+'Scenario 2 Assumptions'!$D$210+'Scenario 2 Assumptions'!$D$211+'Scenario 2 Assumptions'!$D$212+'Scenario 2 Assumptions'!$D$213+'Scenario 2 Assumptions'!$D$214)*'Scenario 2 Assumptions'!$B$176</f>
        <v>0.15525</v>
      </c>
      <c r="L133" s="284">
        <v>0</v>
      </c>
      <c r="M133" s="284">
        <v>0</v>
      </c>
      <c r="N133" s="284">
        <f>('Scenario 2 Assumptions'!$D$190+'Scenario 2 Assumptions'!$D$191+'Scenario 2 Assumptions'!$D$192+'Scenario 2 Assumptions'!$D$193+'Scenario 2 Assumptions'!$D$194+'Scenario 2 Assumptions'!$D$195+'Scenario 2 Assumptions'!$D$196+'Scenario 2 Assumptions'!$D$197+'Scenario 2 Assumptions'!$D$198+'Scenario 2 Assumptions'!$D$199+'Scenario 2 Assumptions'!$D$200+'Scenario 2 Assumptions'!$D$201+'Scenario 2 Assumptions'!$D$202+'Scenario 2 Assumptions'!$D$203+'Scenario 2 Assumptions'!$D$206+'Scenario 2 Assumptions'!$D$207+'Scenario 2 Assumptions'!$D$208+'Scenario 2 Assumptions'!$D$209+'Scenario 2 Assumptions'!$D$210+'Scenario 2 Assumptions'!$D$211+'Scenario 2 Assumptions'!$D$212+'Scenario 2 Assumptions'!$D$213+'Scenario 2 Assumptions'!$D$214)*'Scenario 2 Assumptions'!$B$176</f>
        <v>0.15525</v>
      </c>
      <c r="O133" s="284">
        <v>0</v>
      </c>
      <c r="P133" s="284">
        <v>0</v>
      </c>
      <c r="Q133" s="284">
        <f>('Scenario 2 Assumptions'!$D$190+'Scenario 2 Assumptions'!$D$191+'Scenario 2 Assumptions'!$D$192+'Scenario 2 Assumptions'!$D$193+'Scenario 2 Assumptions'!$D$194+'Scenario 2 Assumptions'!$D$195+'Scenario 2 Assumptions'!$D$196+'Scenario 2 Assumptions'!$D$197+'Scenario 2 Assumptions'!$D$198+'Scenario 2 Assumptions'!$D$199+'Scenario 2 Assumptions'!$D$200+'Scenario 2 Assumptions'!$D$201+'Scenario 2 Assumptions'!$D$202+'Scenario 2 Assumptions'!$D$203+'Scenario 2 Assumptions'!$D$206+'Scenario 2 Assumptions'!$D$207+'Scenario 2 Assumptions'!$D$208+'Scenario 2 Assumptions'!$D$209+'Scenario 2 Assumptions'!$D$210+'Scenario 2 Assumptions'!$D$211+'Scenario 2 Assumptions'!$D$212+'Scenario 2 Assumptions'!$D$213+'Scenario 2 Assumptions'!$D$214)*'Scenario 2 Assumptions'!$B$176</f>
        <v>0.15525</v>
      </c>
      <c r="R133" s="284">
        <v>0</v>
      </c>
      <c r="S133" s="284">
        <v>0</v>
      </c>
      <c r="T133" s="284">
        <f>('Scenario 2 Assumptions'!$D$190+'Scenario 2 Assumptions'!$D$191+'Scenario 2 Assumptions'!$D$192+'Scenario 2 Assumptions'!$D$193+'Scenario 2 Assumptions'!$D$194+'Scenario 2 Assumptions'!$D$195+'Scenario 2 Assumptions'!$D$196+'Scenario 2 Assumptions'!$D$197+'Scenario 2 Assumptions'!$D$198+'Scenario 2 Assumptions'!$D$199+'Scenario 2 Assumptions'!$D$200+'Scenario 2 Assumptions'!$D$201+'Scenario 2 Assumptions'!$D$202+'Scenario 2 Assumptions'!$D$203+'Scenario 2 Assumptions'!$D$206+'Scenario 2 Assumptions'!$D$207+'Scenario 2 Assumptions'!$D$208+'Scenario 2 Assumptions'!$D$209+'Scenario 2 Assumptions'!$D$210+'Scenario 2 Assumptions'!$D$211+'Scenario 2 Assumptions'!$D$212+'Scenario 2 Assumptions'!$D$213+'Scenario 2 Assumptions'!$D$214)*'Scenario 2 Assumptions'!$B$176</f>
        <v>0.15525</v>
      </c>
      <c r="U133" s="284">
        <v>0</v>
      </c>
      <c r="V133" s="290">
        <f t="shared" ref="V133" si="37">SUM(B133:U133)</f>
        <v>1.0867499999999999</v>
      </c>
      <c r="W133" s="285">
        <f t="shared" ref="W133" si="38">V133/20</f>
        <v>5.4337499999999997E-2</v>
      </c>
    </row>
    <row r="134" spans="1:23" s="264" customFormat="1" ht="27" customHeight="1">
      <c r="A134" s="286" t="s">
        <v>1350</v>
      </c>
      <c r="B134" s="284">
        <f>B128-B118-B133</f>
        <v>0.45022499999999999</v>
      </c>
      <c r="C134" s="284">
        <f t="shared" ref="C134:U134" si="39">C128-C118-C133</f>
        <v>0.45022499999999999</v>
      </c>
      <c r="D134" s="284">
        <f t="shared" si="39"/>
        <v>0.45022499999999999</v>
      </c>
      <c r="E134" s="284">
        <f t="shared" si="39"/>
        <v>0.45022499999999999</v>
      </c>
      <c r="F134" s="284">
        <f t="shared" si="39"/>
        <v>0.45022499999999999</v>
      </c>
      <c r="G134" s="284">
        <f t="shared" si="39"/>
        <v>0.45022499999999999</v>
      </c>
      <c r="H134" s="284">
        <f t="shared" si="39"/>
        <v>0.45022499999999999</v>
      </c>
      <c r="I134" s="284">
        <f t="shared" si="39"/>
        <v>0.45022499999999999</v>
      </c>
      <c r="J134" s="284">
        <f t="shared" si="39"/>
        <v>0.45022499999999999</v>
      </c>
      <c r="K134" s="284">
        <f t="shared" si="39"/>
        <v>0.45022499999999999</v>
      </c>
      <c r="L134" s="284">
        <f t="shared" si="39"/>
        <v>0.45022499999999999</v>
      </c>
      <c r="M134" s="284">
        <f t="shared" si="39"/>
        <v>0.45022499999999999</v>
      </c>
      <c r="N134" s="284">
        <f t="shared" si="39"/>
        <v>0.45022499999999999</v>
      </c>
      <c r="O134" s="284">
        <f t="shared" si="39"/>
        <v>0.45022499999999999</v>
      </c>
      <c r="P134" s="284">
        <f t="shared" si="39"/>
        <v>0.45022499999999999</v>
      </c>
      <c r="Q134" s="284">
        <f t="shared" si="39"/>
        <v>0.45022499999999999</v>
      </c>
      <c r="R134" s="284">
        <f t="shared" si="39"/>
        <v>0.45022499999999999</v>
      </c>
      <c r="S134" s="284">
        <f t="shared" si="39"/>
        <v>0.45022499999999999</v>
      </c>
      <c r="T134" s="284">
        <f t="shared" si="39"/>
        <v>0.45022499999999999</v>
      </c>
      <c r="U134" s="284">
        <f t="shared" si="39"/>
        <v>0.45022499999999999</v>
      </c>
      <c r="V134" s="290">
        <f>SUM(B134:U134)</f>
        <v>9.0044999999999966</v>
      </c>
      <c r="W134" s="285">
        <f>V134/20</f>
        <v>0.45022499999999982</v>
      </c>
    </row>
    <row r="135" spans="1:23" ht="13.5" customHeight="1" thickBot="1">
      <c r="A135" s="4"/>
      <c r="B135" s="52"/>
      <c r="C135" s="265"/>
      <c r="D135" s="52"/>
      <c r="E135" s="52"/>
      <c r="F135" s="52"/>
      <c r="G135" s="52"/>
      <c r="H135" s="52"/>
      <c r="I135" s="52"/>
      <c r="J135" s="52"/>
      <c r="K135" s="52"/>
      <c r="L135" s="52"/>
      <c r="M135" s="52"/>
      <c r="N135" s="52"/>
      <c r="O135" s="52"/>
      <c r="P135" s="52"/>
      <c r="Q135" s="52"/>
      <c r="R135" s="52"/>
      <c r="S135" s="52"/>
      <c r="T135" s="52"/>
      <c r="U135" s="52"/>
      <c r="V135" s="182"/>
      <c r="W135" s="35"/>
    </row>
    <row r="136" spans="1:23">
      <c r="A136" s="188"/>
      <c r="B136" s="188"/>
      <c r="D136" s="188"/>
      <c r="E136" s="188"/>
      <c r="F136" s="188"/>
      <c r="G136" s="188"/>
      <c r="H136" s="188"/>
      <c r="I136" s="188"/>
      <c r="J136" s="188"/>
      <c r="K136" s="188"/>
      <c r="L136" s="188"/>
      <c r="M136" s="188"/>
      <c r="N136" s="188"/>
      <c r="O136" s="188"/>
      <c r="P136" s="188"/>
      <c r="Q136" s="188"/>
      <c r="R136" s="188"/>
      <c r="S136" s="188"/>
      <c r="T136" s="188"/>
      <c r="U136" s="188"/>
      <c r="V136" s="287"/>
      <c r="W136" s="130"/>
    </row>
    <row r="137" spans="1:23">
      <c r="A137" s="263" t="s">
        <v>654</v>
      </c>
      <c r="B137" s="100"/>
      <c r="C137" s="74"/>
      <c r="D137" s="100"/>
      <c r="E137" s="100"/>
      <c r="F137" s="100"/>
      <c r="G137" s="100"/>
      <c r="H137" s="100"/>
      <c r="I137" s="100"/>
      <c r="J137" s="100"/>
      <c r="K137" s="100"/>
      <c r="L137" s="100"/>
      <c r="M137" s="100"/>
      <c r="N137" s="100"/>
      <c r="O137" s="100"/>
      <c r="P137" s="100"/>
      <c r="Q137" s="100"/>
      <c r="R137" s="100"/>
      <c r="S137" s="100"/>
      <c r="T137" s="100"/>
      <c r="U137" s="100"/>
      <c r="V137" s="292"/>
      <c r="W137" s="140"/>
    </row>
    <row r="138" spans="1:23">
      <c r="A138" s="4"/>
      <c r="B138" s="100"/>
      <c r="C138" s="100"/>
      <c r="D138" s="100"/>
      <c r="E138" s="100"/>
      <c r="F138" s="100"/>
      <c r="G138" s="100"/>
      <c r="H138" s="100"/>
      <c r="I138" s="100"/>
      <c r="J138" s="100"/>
      <c r="K138" s="100"/>
      <c r="L138" s="100"/>
      <c r="M138" s="100"/>
      <c r="N138" s="100"/>
      <c r="O138" s="100"/>
      <c r="P138" s="100"/>
      <c r="Q138" s="100"/>
      <c r="R138" s="100"/>
      <c r="S138" s="100"/>
      <c r="T138" s="100"/>
      <c r="U138" s="100"/>
      <c r="V138" s="292"/>
      <c r="W138" s="140"/>
    </row>
    <row r="139" spans="1:23">
      <c r="A139" s="197" t="s">
        <v>17</v>
      </c>
      <c r="B139" s="52"/>
      <c r="C139" s="52"/>
      <c r="D139" s="52"/>
      <c r="E139" s="52"/>
      <c r="F139" s="52"/>
      <c r="G139" s="52"/>
      <c r="H139" s="52"/>
      <c r="I139" s="52"/>
      <c r="J139" s="52"/>
      <c r="K139" s="52"/>
      <c r="L139" s="52"/>
      <c r="M139" s="52"/>
      <c r="N139" s="52"/>
      <c r="O139" s="52"/>
      <c r="P139" s="52"/>
      <c r="Q139" s="52"/>
      <c r="R139" s="52"/>
      <c r="S139" s="52"/>
      <c r="T139" s="52"/>
      <c r="U139" s="52"/>
      <c r="V139" s="288"/>
      <c r="W139" s="133"/>
    </row>
    <row r="140" spans="1:23">
      <c r="A140" s="10" t="s">
        <v>1335</v>
      </c>
      <c r="B140" s="52"/>
      <c r="C140" s="52"/>
      <c r="D140" s="52"/>
      <c r="E140" s="52"/>
      <c r="F140" s="52"/>
      <c r="G140" s="52"/>
      <c r="H140" s="52"/>
      <c r="I140" s="52"/>
      <c r="J140" s="52"/>
      <c r="K140" s="52"/>
      <c r="L140" s="52"/>
      <c r="M140" s="52"/>
      <c r="N140" s="52"/>
      <c r="O140" s="52"/>
      <c r="P140" s="52"/>
      <c r="Q140" s="52"/>
      <c r="R140" s="52"/>
      <c r="S140" s="52"/>
      <c r="T140" s="52"/>
      <c r="U140" s="52"/>
      <c r="V140" s="288"/>
      <c r="W140" s="133"/>
    </row>
    <row r="141" spans="1:23" s="81" customFormat="1">
      <c r="A141" s="100" t="s">
        <v>1163</v>
      </c>
      <c r="B141" s="148">
        <f>('Scenario 2 Assumptions'!$D218)*'Scenario 2 Assumptions'!$B$176</f>
        <v>6.7499999999999999E-3</v>
      </c>
      <c r="C141" s="148">
        <v>0</v>
      </c>
      <c r="D141" s="148">
        <v>0</v>
      </c>
      <c r="E141" s="148">
        <f>('Scenario 2 Assumptions'!$D218)*'Scenario 2 Assumptions'!$B$176</f>
        <v>6.7499999999999999E-3</v>
      </c>
      <c r="F141" s="148">
        <v>0</v>
      </c>
      <c r="G141" s="148">
        <v>0</v>
      </c>
      <c r="H141" s="148">
        <f>('Scenario 2 Assumptions'!$D218)*'Scenario 2 Assumptions'!$B$176</f>
        <v>6.7499999999999999E-3</v>
      </c>
      <c r="I141" s="148">
        <v>0</v>
      </c>
      <c r="J141" s="148">
        <v>0</v>
      </c>
      <c r="K141" s="148">
        <f>('Scenario 2 Assumptions'!$D218)*'Scenario 2 Assumptions'!$B$176</f>
        <v>6.7499999999999999E-3</v>
      </c>
      <c r="L141" s="148">
        <v>0</v>
      </c>
      <c r="M141" s="148">
        <v>0</v>
      </c>
      <c r="N141" s="148">
        <f>('Scenario 2 Assumptions'!$D218)*'Scenario 2 Assumptions'!$B$176</f>
        <v>6.7499999999999999E-3</v>
      </c>
      <c r="O141" s="148">
        <v>0</v>
      </c>
      <c r="P141" s="148">
        <v>0</v>
      </c>
      <c r="Q141" s="148">
        <f>('Scenario 2 Assumptions'!$D218)*'Scenario 2 Assumptions'!$B$176</f>
        <v>6.7499999999999999E-3</v>
      </c>
      <c r="R141" s="148">
        <v>0</v>
      </c>
      <c r="S141" s="148">
        <v>0</v>
      </c>
      <c r="T141" s="148">
        <f>('Scenario 2 Assumptions'!$D218)*'Scenario 2 Assumptions'!$B$176</f>
        <v>6.7499999999999999E-3</v>
      </c>
      <c r="U141" s="148">
        <v>0</v>
      </c>
      <c r="V141" s="288">
        <f t="shared" ref="V141" si="40">SUM(B141:U141)</f>
        <v>4.725E-2</v>
      </c>
      <c r="W141" s="161">
        <f t="shared" ref="W141" si="41">V141/20</f>
        <v>2.3625E-3</v>
      </c>
    </row>
    <row r="142" spans="1:23" s="81" customFormat="1">
      <c r="A142" s="100" t="s">
        <v>1164</v>
      </c>
      <c r="B142" s="148">
        <f>'Scenario 2 Assumptions'!$D$219*'Scenario 2 Assumptions'!$B$176</f>
        <v>6.7499999999999999E-3</v>
      </c>
      <c r="C142" s="148">
        <v>0</v>
      </c>
      <c r="D142" s="148">
        <v>0</v>
      </c>
      <c r="E142" s="148">
        <f>'Scenario 2 Assumptions'!$D$219*'Scenario 2 Assumptions'!$B$176</f>
        <v>6.7499999999999999E-3</v>
      </c>
      <c r="F142" s="148">
        <v>0</v>
      </c>
      <c r="G142" s="148">
        <v>0</v>
      </c>
      <c r="H142" s="148">
        <f>'Scenario 2 Assumptions'!$D$219*'Scenario 2 Assumptions'!$B$176</f>
        <v>6.7499999999999999E-3</v>
      </c>
      <c r="I142" s="148">
        <v>0</v>
      </c>
      <c r="J142" s="148">
        <v>0</v>
      </c>
      <c r="K142" s="148">
        <f>'Scenario 2 Assumptions'!$D$219*'Scenario 2 Assumptions'!$B$176</f>
        <v>6.7499999999999999E-3</v>
      </c>
      <c r="L142" s="148">
        <v>0</v>
      </c>
      <c r="M142" s="148">
        <v>0</v>
      </c>
      <c r="N142" s="148">
        <f>'Scenario 2 Assumptions'!$D$219*'Scenario 2 Assumptions'!$B$176</f>
        <v>6.7499999999999999E-3</v>
      </c>
      <c r="O142" s="148">
        <v>0</v>
      </c>
      <c r="P142" s="148">
        <v>0</v>
      </c>
      <c r="Q142" s="148">
        <f>'Scenario 2 Assumptions'!$D$219*'Scenario 2 Assumptions'!$B$176</f>
        <v>6.7499999999999999E-3</v>
      </c>
      <c r="R142" s="148">
        <v>0</v>
      </c>
      <c r="S142" s="148">
        <v>0</v>
      </c>
      <c r="T142" s="148">
        <f>'Scenario 2 Assumptions'!$D$219*'Scenario 2 Assumptions'!$B$176</f>
        <v>6.7499999999999999E-3</v>
      </c>
      <c r="U142" s="148">
        <v>0</v>
      </c>
      <c r="V142" s="288">
        <f t="shared" ref="V142:V143" si="42">SUM(B142:U142)</f>
        <v>4.725E-2</v>
      </c>
      <c r="W142" s="161">
        <f t="shared" ref="W142:W143" si="43">V142/20</f>
        <v>2.3625E-3</v>
      </c>
    </row>
    <row r="143" spans="1:23" s="81" customFormat="1">
      <c r="A143" s="100" t="s">
        <v>1165</v>
      </c>
      <c r="B143" s="148">
        <f>'Scenario 2 Assumptions'!$D$220*'Scenario 2 Assumptions'!$B$176</f>
        <v>6.7499999999999999E-3</v>
      </c>
      <c r="C143" s="148">
        <v>0</v>
      </c>
      <c r="D143" s="148">
        <v>0</v>
      </c>
      <c r="E143" s="148">
        <f>'Scenario 2 Assumptions'!$D$220*'Scenario 2 Assumptions'!$B$176</f>
        <v>6.7499999999999999E-3</v>
      </c>
      <c r="F143" s="148">
        <v>0</v>
      </c>
      <c r="G143" s="148">
        <v>0</v>
      </c>
      <c r="H143" s="148">
        <f>'Scenario 2 Assumptions'!$D$220*'Scenario 2 Assumptions'!$B$176</f>
        <v>6.7499999999999999E-3</v>
      </c>
      <c r="I143" s="148">
        <v>0</v>
      </c>
      <c r="J143" s="148">
        <v>0</v>
      </c>
      <c r="K143" s="148">
        <f>'Scenario 2 Assumptions'!$D$220*'Scenario 2 Assumptions'!$B$176</f>
        <v>6.7499999999999999E-3</v>
      </c>
      <c r="L143" s="148">
        <v>0</v>
      </c>
      <c r="M143" s="148">
        <v>0</v>
      </c>
      <c r="N143" s="148">
        <f>'Scenario 2 Assumptions'!$D$220*'Scenario 2 Assumptions'!$B$176</f>
        <v>6.7499999999999999E-3</v>
      </c>
      <c r="O143" s="148">
        <v>0</v>
      </c>
      <c r="P143" s="148">
        <v>0</v>
      </c>
      <c r="Q143" s="148">
        <f>'Scenario 2 Assumptions'!$D$220*'Scenario 2 Assumptions'!$B$176</f>
        <v>6.7499999999999999E-3</v>
      </c>
      <c r="R143" s="148">
        <v>0</v>
      </c>
      <c r="S143" s="148">
        <v>0</v>
      </c>
      <c r="T143" s="148">
        <f>'Scenario 2 Assumptions'!$D$220*'Scenario 2 Assumptions'!$B$176</f>
        <v>6.7499999999999999E-3</v>
      </c>
      <c r="U143" s="148">
        <v>0</v>
      </c>
      <c r="V143" s="288">
        <f t="shared" si="42"/>
        <v>4.725E-2</v>
      </c>
      <c r="W143" s="161">
        <f t="shared" si="43"/>
        <v>2.3625E-3</v>
      </c>
    </row>
    <row r="144" spans="1:23" s="81" customFormat="1">
      <c r="A144" s="100"/>
      <c r="B144" s="148"/>
      <c r="C144" s="148"/>
      <c r="D144" s="148"/>
      <c r="E144" s="148"/>
      <c r="F144" s="148"/>
      <c r="G144" s="148"/>
      <c r="H144" s="148"/>
      <c r="I144" s="148"/>
      <c r="J144" s="148"/>
      <c r="K144" s="148"/>
      <c r="L144" s="148"/>
      <c r="M144" s="148"/>
      <c r="N144" s="148"/>
      <c r="O144" s="148"/>
      <c r="P144" s="148"/>
      <c r="Q144" s="148"/>
      <c r="R144" s="148"/>
      <c r="S144" s="148"/>
      <c r="T144" s="148"/>
      <c r="U144" s="148"/>
      <c r="V144" s="288"/>
      <c r="W144" s="161"/>
    </row>
    <row r="145" spans="1:23">
      <c r="A145" s="10" t="s">
        <v>597</v>
      </c>
      <c r="B145" s="148"/>
      <c r="C145" s="148"/>
      <c r="D145" s="148"/>
      <c r="E145" s="148"/>
      <c r="F145" s="148"/>
      <c r="G145" s="148"/>
      <c r="H145" s="148"/>
      <c r="I145" s="148"/>
      <c r="J145" s="148"/>
      <c r="K145" s="148"/>
      <c r="L145" s="148"/>
      <c r="M145" s="148"/>
      <c r="N145" s="148"/>
      <c r="O145" s="148"/>
      <c r="P145" s="148"/>
      <c r="Q145" s="148"/>
      <c r="R145" s="148"/>
      <c r="S145" s="148"/>
      <c r="T145" s="148"/>
      <c r="U145" s="148"/>
      <c r="V145" s="293"/>
      <c r="W145" s="161"/>
    </row>
    <row r="146" spans="1:23">
      <c r="A146" s="100" t="s">
        <v>659</v>
      </c>
      <c r="B146" s="148"/>
      <c r="C146" s="148"/>
      <c r="D146" s="148"/>
      <c r="E146" s="148"/>
      <c r="F146" s="148"/>
      <c r="G146" s="148"/>
      <c r="H146" s="148"/>
      <c r="I146" s="148"/>
      <c r="J146" s="148"/>
      <c r="K146" s="148"/>
      <c r="L146" s="148"/>
      <c r="M146" s="148"/>
      <c r="N146" s="148"/>
      <c r="O146" s="148"/>
      <c r="P146" s="148"/>
      <c r="Q146" s="148"/>
      <c r="R146" s="148"/>
      <c r="S146" s="148"/>
      <c r="T146" s="148"/>
      <c r="U146" s="148"/>
      <c r="V146" s="293"/>
      <c r="W146" s="161"/>
    </row>
    <row r="147" spans="1:23">
      <c r="A147" s="100"/>
      <c r="B147" s="148"/>
      <c r="C147" s="148"/>
      <c r="D147" s="148"/>
      <c r="E147" s="148"/>
      <c r="F147" s="148"/>
      <c r="G147" s="148"/>
      <c r="H147" s="148"/>
      <c r="I147" s="148"/>
      <c r="J147" s="148"/>
      <c r="K147" s="148"/>
      <c r="L147" s="148"/>
      <c r="M147" s="148"/>
      <c r="N147" s="148"/>
      <c r="O147" s="148"/>
      <c r="P147" s="148"/>
      <c r="Q147" s="148"/>
      <c r="R147" s="148"/>
      <c r="S147" s="148"/>
      <c r="T147" s="148"/>
      <c r="U147" s="148"/>
      <c r="V147" s="293"/>
      <c r="W147" s="161"/>
    </row>
    <row r="148" spans="1:23" s="100" customFormat="1">
      <c r="A148" s="10" t="s">
        <v>1158</v>
      </c>
      <c r="V148" s="179"/>
      <c r="W148" s="132"/>
    </row>
    <row r="149" spans="1:23" s="100" customFormat="1">
      <c r="A149" s="28" t="s">
        <v>1161</v>
      </c>
      <c r="B149" s="52">
        <f>'Scenario 2 Assumptions'!$B$6*('Scenario 2 Assumptions'!$D108+'Scenario 2 Assumptions'!$D109)</f>
        <v>6.7500000000000004E-4</v>
      </c>
      <c r="C149" s="52">
        <f>'Scenario 2 Assumptions'!$B$6*('Scenario 2 Assumptions'!$D108+'Scenario 2 Assumptions'!$D109)</f>
        <v>6.7500000000000004E-4</v>
      </c>
      <c r="D149" s="52">
        <f>'Scenario 2 Assumptions'!$B$6*('Scenario 2 Assumptions'!$D108+'Scenario 2 Assumptions'!$D109)</f>
        <v>6.7500000000000004E-4</v>
      </c>
      <c r="E149" s="52">
        <f>'Scenario 2 Assumptions'!$B$6*('Scenario 2 Assumptions'!$D108+'Scenario 2 Assumptions'!$D109)</f>
        <v>6.7500000000000004E-4</v>
      </c>
      <c r="F149" s="52">
        <f>'Scenario 2 Assumptions'!$B$6*('Scenario 2 Assumptions'!$D108+'Scenario 2 Assumptions'!$D109)</f>
        <v>6.7500000000000004E-4</v>
      </c>
      <c r="G149" s="52">
        <f>'Scenario 2 Assumptions'!$B$6*('Scenario 2 Assumptions'!$D108+'Scenario 2 Assumptions'!$D109)</f>
        <v>6.7500000000000004E-4</v>
      </c>
      <c r="H149" s="52">
        <f>'Scenario 2 Assumptions'!$B$6*('Scenario 2 Assumptions'!$D108+'Scenario 2 Assumptions'!$D109)</f>
        <v>6.7500000000000004E-4</v>
      </c>
      <c r="I149" s="52">
        <f>'Scenario 2 Assumptions'!$B$6*('Scenario 2 Assumptions'!$D108+'Scenario 2 Assumptions'!$D109)</f>
        <v>6.7500000000000004E-4</v>
      </c>
      <c r="J149" s="52">
        <f>'Scenario 2 Assumptions'!$B$6*('Scenario 2 Assumptions'!$D108+'Scenario 2 Assumptions'!$D109)</f>
        <v>6.7500000000000004E-4</v>
      </c>
      <c r="K149" s="52">
        <f>'Scenario 2 Assumptions'!$B$6*('Scenario 2 Assumptions'!$D108+'Scenario 2 Assumptions'!$D109)</f>
        <v>6.7500000000000004E-4</v>
      </c>
      <c r="L149" s="52">
        <f>'Scenario 2 Assumptions'!$B$6*('Scenario 2 Assumptions'!$D108+'Scenario 2 Assumptions'!$D109)</f>
        <v>6.7500000000000004E-4</v>
      </c>
      <c r="M149" s="52">
        <f>'Scenario 2 Assumptions'!$B$6*('Scenario 2 Assumptions'!$D108+'Scenario 2 Assumptions'!$D109)</f>
        <v>6.7500000000000004E-4</v>
      </c>
      <c r="N149" s="52">
        <f>'Scenario 2 Assumptions'!$B$6*('Scenario 2 Assumptions'!$D108+'Scenario 2 Assumptions'!$D109)</f>
        <v>6.7500000000000004E-4</v>
      </c>
      <c r="O149" s="52">
        <f>'Scenario 2 Assumptions'!$B$6*('Scenario 2 Assumptions'!$D108+'Scenario 2 Assumptions'!$D109)</f>
        <v>6.7500000000000004E-4</v>
      </c>
      <c r="P149" s="52">
        <f>'Scenario 2 Assumptions'!$B$6*('Scenario 2 Assumptions'!$D108+'Scenario 2 Assumptions'!$D109)</f>
        <v>6.7500000000000004E-4</v>
      </c>
      <c r="Q149" s="52">
        <f>'Scenario 2 Assumptions'!$B$6*('Scenario 2 Assumptions'!$D108+'Scenario 2 Assumptions'!$D109)</f>
        <v>6.7500000000000004E-4</v>
      </c>
      <c r="R149" s="52">
        <f>'Scenario 2 Assumptions'!$B$6*('Scenario 2 Assumptions'!$D108+'Scenario 2 Assumptions'!$D109)</f>
        <v>6.7500000000000004E-4</v>
      </c>
      <c r="S149" s="52">
        <f>'Scenario 2 Assumptions'!$B$6*('Scenario 2 Assumptions'!$D108+'Scenario 2 Assumptions'!$D109)</f>
        <v>6.7500000000000004E-4</v>
      </c>
      <c r="T149" s="52">
        <f>'Scenario 2 Assumptions'!$B$6*('Scenario 2 Assumptions'!$D108+'Scenario 2 Assumptions'!$D109)</f>
        <v>6.7500000000000004E-4</v>
      </c>
      <c r="U149" s="52">
        <f>'Scenario 2 Assumptions'!$B$6*('Scenario 2 Assumptions'!$D108+'Scenario 2 Assumptions'!$D109)</f>
        <v>6.7500000000000004E-4</v>
      </c>
      <c r="V149" s="288">
        <f t="shared" ref="V149" si="44">SUM(B149:U149)</f>
        <v>1.3500000000000003E-2</v>
      </c>
      <c r="W149" s="133">
        <f t="shared" ref="W149" si="45">V149/20</f>
        <v>6.7500000000000014E-4</v>
      </c>
    </row>
    <row r="150" spans="1:23" s="100" customFormat="1">
      <c r="A150" s="28" t="s">
        <v>1162</v>
      </c>
      <c r="B150" s="52">
        <f>'Scenario 2 Assumptions'!$B$6*('Scenario 2 Assumptions'!$D110+'Scenario 2 Assumptions'!$D111+'Scenario 2 Assumptions'!$D112)</f>
        <v>4.725E-3</v>
      </c>
      <c r="C150" s="52">
        <f>'Scenario 2 Assumptions'!$B$6*('Scenario 2 Assumptions'!$D110+'Scenario 2 Assumptions'!$D111+'Scenario 2 Assumptions'!$D112)</f>
        <v>4.725E-3</v>
      </c>
      <c r="D150" s="52">
        <f>'Scenario 2 Assumptions'!$B$6*('Scenario 2 Assumptions'!$D110+'Scenario 2 Assumptions'!$D111+'Scenario 2 Assumptions'!$D112)</f>
        <v>4.725E-3</v>
      </c>
      <c r="E150" s="52">
        <f>'Scenario 2 Assumptions'!$B$6*('Scenario 2 Assumptions'!$D110+'Scenario 2 Assumptions'!$D111+'Scenario 2 Assumptions'!$D112)</f>
        <v>4.725E-3</v>
      </c>
      <c r="F150" s="52">
        <f>'Scenario 2 Assumptions'!$B$6*('Scenario 2 Assumptions'!$D110+'Scenario 2 Assumptions'!$D111+'Scenario 2 Assumptions'!$D112)</f>
        <v>4.725E-3</v>
      </c>
      <c r="G150" s="52">
        <f>'Scenario 2 Assumptions'!$B$6*('Scenario 2 Assumptions'!$D110+'Scenario 2 Assumptions'!$D111+'Scenario 2 Assumptions'!$D112)</f>
        <v>4.725E-3</v>
      </c>
      <c r="H150" s="52">
        <f>'Scenario 2 Assumptions'!$B$6*('Scenario 2 Assumptions'!$D110+'Scenario 2 Assumptions'!$D111+'Scenario 2 Assumptions'!$D112)</f>
        <v>4.725E-3</v>
      </c>
      <c r="I150" s="52">
        <f>'Scenario 2 Assumptions'!$B$6*('Scenario 2 Assumptions'!$D110+'Scenario 2 Assumptions'!$D111+'Scenario 2 Assumptions'!$D112)</f>
        <v>4.725E-3</v>
      </c>
      <c r="J150" s="52">
        <f>'Scenario 2 Assumptions'!$B$6*('Scenario 2 Assumptions'!$D110+'Scenario 2 Assumptions'!$D111+'Scenario 2 Assumptions'!$D112)</f>
        <v>4.725E-3</v>
      </c>
      <c r="K150" s="52">
        <f>'Scenario 2 Assumptions'!$B$6*('Scenario 2 Assumptions'!$D110+'Scenario 2 Assumptions'!$D111+'Scenario 2 Assumptions'!$D112)</f>
        <v>4.725E-3</v>
      </c>
      <c r="L150" s="52">
        <f>'Scenario 2 Assumptions'!$B$6*('Scenario 2 Assumptions'!$D110+'Scenario 2 Assumptions'!$D111+'Scenario 2 Assumptions'!$D112)</f>
        <v>4.725E-3</v>
      </c>
      <c r="M150" s="52">
        <f>'Scenario 2 Assumptions'!$B$6*('Scenario 2 Assumptions'!$D110+'Scenario 2 Assumptions'!$D111+'Scenario 2 Assumptions'!$D112)</f>
        <v>4.725E-3</v>
      </c>
      <c r="N150" s="52">
        <f>'Scenario 2 Assumptions'!$B$6*('Scenario 2 Assumptions'!$D110+'Scenario 2 Assumptions'!$D111+'Scenario 2 Assumptions'!$D112)</f>
        <v>4.725E-3</v>
      </c>
      <c r="O150" s="52">
        <f>'Scenario 2 Assumptions'!$B$6*('Scenario 2 Assumptions'!$D110+'Scenario 2 Assumptions'!$D111+'Scenario 2 Assumptions'!$D112)</f>
        <v>4.725E-3</v>
      </c>
      <c r="P150" s="52">
        <f>'Scenario 2 Assumptions'!$B$6*('Scenario 2 Assumptions'!$D110+'Scenario 2 Assumptions'!$D111+'Scenario 2 Assumptions'!$D112)</f>
        <v>4.725E-3</v>
      </c>
      <c r="Q150" s="52">
        <f>'Scenario 2 Assumptions'!$B$6*('Scenario 2 Assumptions'!$D110+'Scenario 2 Assumptions'!$D111+'Scenario 2 Assumptions'!$D112)</f>
        <v>4.725E-3</v>
      </c>
      <c r="R150" s="52">
        <f>'Scenario 2 Assumptions'!$B$6*('Scenario 2 Assumptions'!$D110+'Scenario 2 Assumptions'!$D111+'Scenario 2 Assumptions'!$D112)</f>
        <v>4.725E-3</v>
      </c>
      <c r="S150" s="52">
        <f>'Scenario 2 Assumptions'!$B$6*('Scenario 2 Assumptions'!$D110+'Scenario 2 Assumptions'!$D111+'Scenario 2 Assumptions'!$D112)</f>
        <v>4.725E-3</v>
      </c>
      <c r="T150" s="52">
        <f>'Scenario 2 Assumptions'!$B$6*('Scenario 2 Assumptions'!$D110+'Scenario 2 Assumptions'!$D111+'Scenario 2 Assumptions'!$D112)</f>
        <v>4.725E-3</v>
      </c>
      <c r="U150" s="52">
        <f>'Scenario 2 Assumptions'!$B$6*('Scenario 2 Assumptions'!$D110+'Scenario 2 Assumptions'!$D111+'Scenario 2 Assumptions'!$D112)</f>
        <v>4.725E-3</v>
      </c>
      <c r="V150" s="288">
        <f t="shared" ref="V150:V151" si="46">SUM(B150:U150)</f>
        <v>9.4500000000000028E-2</v>
      </c>
      <c r="W150" s="133">
        <f t="shared" ref="W150:W151" si="47">V150/20</f>
        <v>4.7250000000000018E-3</v>
      </c>
    </row>
    <row r="151" spans="1:23" s="100" customFormat="1">
      <c r="A151" s="86" t="s">
        <v>1089</v>
      </c>
      <c r="B151" s="52">
        <f>'Scenario 2 Assumptions'!$B$6*('Scenario 2 Assumptions'!$D113+'Scenario 2 Assumptions'!$D114)</f>
        <v>9.4500000000000001E-3</v>
      </c>
      <c r="C151" s="52">
        <f>'Scenario 2 Assumptions'!$B$6*('Scenario 2 Assumptions'!$D113+'Scenario 2 Assumptions'!$D114)</f>
        <v>9.4500000000000001E-3</v>
      </c>
      <c r="D151" s="52">
        <f>'Scenario 2 Assumptions'!$B$6*('Scenario 2 Assumptions'!$D113+'Scenario 2 Assumptions'!$D114)</f>
        <v>9.4500000000000001E-3</v>
      </c>
      <c r="E151" s="52">
        <f>'Scenario 2 Assumptions'!$B$6*('Scenario 2 Assumptions'!$D113+'Scenario 2 Assumptions'!$D114)</f>
        <v>9.4500000000000001E-3</v>
      </c>
      <c r="F151" s="52">
        <f>'Scenario 2 Assumptions'!$B$6*('Scenario 2 Assumptions'!$D113+'Scenario 2 Assumptions'!$D114)</f>
        <v>9.4500000000000001E-3</v>
      </c>
      <c r="G151" s="52">
        <f>'Scenario 2 Assumptions'!$B$6*('Scenario 2 Assumptions'!$D113+'Scenario 2 Assumptions'!$D114)</f>
        <v>9.4500000000000001E-3</v>
      </c>
      <c r="H151" s="52">
        <f>'Scenario 2 Assumptions'!$B$6*('Scenario 2 Assumptions'!$D113+'Scenario 2 Assumptions'!$D114)</f>
        <v>9.4500000000000001E-3</v>
      </c>
      <c r="I151" s="52">
        <f>'Scenario 2 Assumptions'!$B$6*('Scenario 2 Assumptions'!$D113+'Scenario 2 Assumptions'!$D114)</f>
        <v>9.4500000000000001E-3</v>
      </c>
      <c r="J151" s="52">
        <f>'Scenario 2 Assumptions'!$B$6*('Scenario 2 Assumptions'!$D113+'Scenario 2 Assumptions'!$D114)</f>
        <v>9.4500000000000001E-3</v>
      </c>
      <c r="K151" s="52">
        <f>'Scenario 2 Assumptions'!$B$6*('Scenario 2 Assumptions'!$D113+'Scenario 2 Assumptions'!$D114)</f>
        <v>9.4500000000000001E-3</v>
      </c>
      <c r="L151" s="52">
        <f>'Scenario 2 Assumptions'!$B$6*('Scenario 2 Assumptions'!$D113+'Scenario 2 Assumptions'!$D114)</f>
        <v>9.4500000000000001E-3</v>
      </c>
      <c r="M151" s="52">
        <f>'Scenario 2 Assumptions'!$B$6*('Scenario 2 Assumptions'!$D113+'Scenario 2 Assumptions'!$D114)</f>
        <v>9.4500000000000001E-3</v>
      </c>
      <c r="N151" s="52">
        <f>'Scenario 2 Assumptions'!$B$6*('Scenario 2 Assumptions'!$D113+'Scenario 2 Assumptions'!$D114)</f>
        <v>9.4500000000000001E-3</v>
      </c>
      <c r="O151" s="52">
        <f>'Scenario 2 Assumptions'!$B$6*('Scenario 2 Assumptions'!$D113+'Scenario 2 Assumptions'!$D114)</f>
        <v>9.4500000000000001E-3</v>
      </c>
      <c r="P151" s="52">
        <f>'Scenario 2 Assumptions'!$B$6*('Scenario 2 Assumptions'!$D113+'Scenario 2 Assumptions'!$D114)</f>
        <v>9.4500000000000001E-3</v>
      </c>
      <c r="Q151" s="52">
        <f>'Scenario 2 Assumptions'!$B$6*('Scenario 2 Assumptions'!$D113+'Scenario 2 Assumptions'!$D114)</f>
        <v>9.4500000000000001E-3</v>
      </c>
      <c r="R151" s="52">
        <f>'Scenario 2 Assumptions'!$B$6*('Scenario 2 Assumptions'!$D113+'Scenario 2 Assumptions'!$D114)</f>
        <v>9.4500000000000001E-3</v>
      </c>
      <c r="S151" s="52">
        <f>'Scenario 2 Assumptions'!$B$6*('Scenario 2 Assumptions'!$D113+'Scenario 2 Assumptions'!$D114)</f>
        <v>9.4500000000000001E-3</v>
      </c>
      <c r="T151" s="52">
        <f>'Scenario 2 Assumptions'!$B$6*('Scenario 2 Assumptions'!$D113+'Scenario 2 Assumptions'!$D114)</f>
        <v>9.4500000000000001E-3</v>
      </c>
      <c r="U151" s="52">
        <f>'Scenario 2 Assumptions'!$B$6*('Scenario 2 Assumptions'!$D113+'Scenario 2 Assumptions'!$D114)</f>
        <v>9.4500000000000001E-3</v>
      </c>
      <c r="V151" s="288">
        <f t="shared" si="46"/>
        <v>0.18900000000000006</v>
      </c>
      <c r="W151" s="133">
        <f t="shared" si="47"/>
        <v>9.4500000000000035E-3</v>
      </c>
    </row>
    <row r="152" spans="1:23">
      <c r="A152" s="86" t="s">
        <v>1163</v>
      </c>
      <c r="B152" s="52">
        <f>'Scenario 2 Assumptions'!$B$6*('Scenario 2 Assumptions'!$D115+'Scenario 2 Assumptions'!$D116+'Scenario 2 Assumptions'!$D117+'Scenario 2 Assumptions'!$D118+'Scenario 2 Assumptions'!$D119+'Scenario 2 Assumptions'!$D120+'Scenario 2 Assumptions'!$D121+'Scenario 2 Assumptions'!$D122+'Scenario 2 Assumptions'!$D123+'Scenario 2 Assumptions'!$D124+'Scenario 2 Assumptions'!$D125+'Scenario 2 Assumptions'!$D126+'Scenario 2 Assumptions'!$D127+'Scenario 2 Assumptions'!$D128)</f>
        <v>1.6875000000000001E-2</v>
      </c>
      <c r="C152" s="52">
        <f>'Scenario 2 Assumptions'!$B$6*('Scenario 2 Assumptions'!$D115+'Scenario 2 Assumptions'!$D116+'Scenario 2 Assumptions'!$D117+'Scenario 2 Assumptions'!$D118+'Scenario 2 Assumptions'!$D119+'Scenario 2 Assumptions'!$D120+'Scenario 2 Assumptions'!$D121+'Scenario 2 Assumptions'!$D122+'Scenario 2 Assumptions'!$D123+'Scenario 2 Assumptions'!$D124+'Scenario 2 Assumptions'!$D125+'Scenario 2 Assumptions'!$D126+'Scenario 2 Assumptions'!$D127+'Scenario 2 Assumptions'!$D128)</f>
        <v>1.6875000000000001E-2</v>
      </c>
      <c r="D152" s="52">
        <f>'Scenario 2 Assumptions'!$B$6*('Scenario 2 Assumptions'!$D115+'Scenario 2 Assumptions'!$D116+'Scenario 2 Assumptions'!$D117+'Scenario 2 Assumptions'!$D118+'Scenario 2 Assumptions'!$D119+'Scenario 2 Assumptions'!$D120+'Scenario 2 Assumptions'!$D121+'Scenario 2 Assumptions'!$D122+'Scenario 2 Assumptions'!$D123+'Scenario 2 Assumptions'!$D124+'Scenario 2 Assumptions'!$D125+'Scenario 2 Assumptions'!$D126+'Scenario 2 Assumptions'!$D127+'Scenario 2 Assumptions'!$D128)</f>
        <v>1.6875000000000001E-2</v>
      </c>
      <c r="E152" s="52">
        <f>'Scenario 2 Assumptions'!$B$6*('Scenario 2 Assumptions'!$D115+'Scenario 2 Assumptions'!$D116+'Scenario 2 Assumptions'!$D117+'Scenario 2 Assumptions'!$D118+'Scenario 2 Assumptions'!$D119+'Scenario 2 Assumptions'!$D120+'Scenario 2 Assumptions'!$D121+'Scenario 2 Assumptions'!$D122+'Scenario 2 Assumptions'!$D123+'Scenario 2 Assumptions'!$D124+'Scenario 2 Assumptions'!$D125+'Scenario 2 Assumptions'!$D126+'Scenario 2 Assumptions'!$D127+'Scenario 2 Assumptions'!$D128)</f>
        <v>1.6875000000000001E-2</v>
      </c>
      <c r="F152" s="52">
        <f>'Scenario 2 Assumptions'!$B$6*('Scenario 2 Assumptions'!$D115+'Scenario 2 Assumptions'!$D116+'Scenario 2 Assumptions'!$D117+'Scenario 2 Assumptions'!$D118+'Scenario 2 Assumptions'!$D119+'Scenario 2 Assumptions'!$D120+'Scenario 2 Assumptions'!$D121+'Scenario 2 Assumptions'!$D122+'Scenario 2 Assumptions'!$D123+'Scenario 2 Assumptions'!$D124+'Scenario 2 Assumptions'!$D125+'Scenario 2 Assumptions'!$D126+'Scenario 2 Assumptions'!$D127+'Scenario 2 Assumptions'!$D128)</f>
        <v>1.6875000000000001E-2</v>
      </c>
      <c r="G152" s="52">
        <f>'Scenario 2 Assumptions'!$B$6*('Scenario 2 Assumptions'!$D115+'Scenario 2 Assumptions'!$D116+'Scenario 2 Assumptions'!$D117+'Scenario 2 Assumptions'!$D118+'Scenario 2 Assumptions'!$D119+'Scenario 2 Assumptions'!$D120+'Scenario 2 Assumptions'!$D121+'Scenario 2 Assumptions'!$D122+'Scenario 2 Assumptions'!$D123+'Scenario 2 Assumptions'!$D124+'Scenario 2 Assumptions'!$D125+'Scenario 2 Assumptions'!$D126+'Scenario 2 Assumptions'!$D127+'Scenario 2 Assumptions'!$D128)</f>
        <v>1.6875000000000001E-2</v>
      </c>
      <c r="H152" s="52">
        <f>'Scenario 2 Assumptions'!$B$6*('Scenario 2 Assumptions'!$D115+'Scenario 2 Assumptions'!$D116+'Scenario 2 Assumptions'!$D117+'Scenario 2 Assumptions'!$D118+'Scenario 2 Assumptions'!$D119+'Scenario 2 Assumptions'!$D120+'Scenario 2 Assumptions'!$D121+'Scenario 2 Assumptions'!$D122+'Scenario 2 Assumptions'!$D123+'Scenario 2 Assumptions'!$D124+'Scenario 2 Assumptions'!$D125+'Scenario 2 Assumptions'!$D126+'Scenario 2 Assumptions'!$D127+'Scenario 2 Assumptions'!$D128)</f>
        <v>1.6875000000000001E-2</v>
      </c>
      <c r="I152" s="52">
        <f>'Scenario 2 Assumptions'!$B$6*('Scenario 2 Assumptions'!$D115+'Scenario 2 Assumptions'!$D116+'Scenario 2 Assumptions'!$D117+'Scenario 2 Assumptions'!$D118+'Scenario 2 Assumptions'!$D119+'Scenario 2 Assumptions'!$D120+'Scenario 2 Assumptions'!$D121+'Scenario 2 Assumptions'!$D122+'Scenario 2 Assumptions'!$D123+'Scenario 2 Assumptions'!$D124+'Scenario 2 Assumptions'!$D125+'Scenario 2 Assumptions'!$D126+'Scenario 2 Assumptions'!$D127+'Scenario 2 Assumptions'!$D128)</f>
        <v>1.6875000000000001E-2</v>
      </c>
      <c r="J152" s="52">
        <f>'Scenario 2 Assumptions'!$B$6*('Scenario 2 Assumptions'!$D115+'Scenario 2 Assumptions'!$D116+'Scenario 2 Assumptions'!$D117+'Scenario 2 Assumptions'!$D118+'Scenario 2 Assumptions'!$D119+'Scenario 2 Assumptions'!$D120+'Scenario 2 Assumptions'!$D121+'Scenario 2 Assumptions'!$D122+'Scenario 2 Assumptions'!$D123+'Scenario 2 Assumptions'!$D124+'Scenario 2 Assumptions'!$D125+'Scenario 2 Assumptions'!$D126+'Scenario 2 Assumptions'!$D127+'Scenario 2 Assumptions'!$D128)</f>
        <v>1.6875000000000001E-2</v>
      </c>
      <c r="K152" s="52">
        <f>'Scenario 2 Assumptions'!$B$6*('Scenario 2 Assumptions'!$D115+'Scenario 2 Assumptions'!$D116+'Scenario 2 Assumptions'!$D117+'Scenario 2 Assumptions'!$D118+'Scenario 2 Assumptions'!$D119+'Scenario 2 Assumptions'!$D120+'Scenario 2 Assumptions'!$D121+'Scenario 2 Assumptions'!$D122+'Scenario 2 Assumptions'!$D123+'Scenario 2 Assumptions'!$D124+'Scenario 2 Assumptions'!$D125+'Scenario 2 Assumptions'!$D126+'Scenario 2 Assumptions'!$D127+'Scenario 2 Assumptions'!$D128)</f>
        <v>1.6875000000000001E-2</v>
      </c>
      <c r="L152" s="52">
        <f>'Scenario 2 Assumptions'!$B$6*('Scenario 2 Assumptions'!$D115+'Scenario 2 Assumptions'!$D116+'Scenario 2 Assumptions'!$D117+'Scenario 2 Assumptions'!$D118+'Scenario 2 Assumptions'!$D119+'Scenario 2 Assumptions'!$D120+'Scenario 2 Assumptions'!$D121+'Scenario 2 Assumptions'!$D122+'Scenario 2 Assumptions'!$D123+'Scenario 2 Assumptions'!$D124+'Scenario 2 Assumptions'!$D125+'Scenario 2 Assumptions'!$D126+'Scenario 2 Assumptions'!$D127+'Scenario 2 Assumptions'!$D128)</f>
        <v>1.6875000000000001E-2</v>
      </c>
      <c r="M152" s="52">
        <f>'Scenario 2 Assumptions'!$B$6*('Scenario 2 Assumptions'!$D115+'Scenario 2 Assumptions'!$D116+'Scenario 2 Assumptions'!$D117+'Scenario 2 Assumptions'!$D118+'Scenario 2 Assumptions'!$D119+'Scenario 2 Assumptions'!$D120+'Scenario 2 Assumptions'!$D121+'Scenario 2 Assumptions'!$D122+'Scenario 2 Assumptions'!$D123+'Scenario 2 Assumptions'!$D124+'Scenario 2 Assumptions'!$D125+'Scenario 2 Assumptions'!$D126+'Scenario 2 Assumptions'!$D127+'Scenario 2 Assumptions'!$D128)</f>
        <v>1.6875000000000001E-2</v>
      </c>
      <c r="N152" s="52">
        <f>'Scenario 2 Assumptions'!$B$6*('Scenario 2 Assumptions'!$D115+'Scenario 2 Assumptions'!$D116+'Scenario 2 Assumptions'!$D117+'Scenario 2 Assumptions'!$D118+'Scenario 2 Assumptions'!$D119+'Scenario 2 Assumptions'!$D120+'Scenario 2 Assumptions'!$D121+'Scenario 2 Assumptions'!$D122+'Scenario 2 Assumptions'!$D123+'Scenario 2 Assumptions'!$D124+'Scenario 2 Assumptions'!$D125+'Scenario 2 Assumptions'!$D126+'Scenario 2 Assumptions'!$D127+'Scenario 2 Assumptions'!$D128)</f>
        <v>1.6875000000000001E-2</v>
      </c>
      <c r="O152" s="52">
        <f>'Scenario 2 Assumptions'!$B$6*('Scenario 2 Assumptions'!$D115+'Scenario 2 Assumptions'!$D116+'Scenario 2 Assumptions'!$D117+'Scenario 2 Assumptions'!$D118+'Scenario 2 Assumptions'!$D119+'Scenario 2 Assumptions'!$D120+'Scenario 2 Assumptions'!$D121+'Scenario 2 Assumptions'!$D122+'Scenario 2 Assumptions'!$D123+'Scenario 2 Assumptions'!$D124+'Scenario 2 Assumptions'!$D125+'Scenario 2 Assumptions'!$D126+'Scenario 2 Assumptions'!$D127+'Scenario 2 Assumptions'!$D128)</f>
        <v>1.6875000000000001E-2</v>
      </c>
      <c r="P152" s="52">
        <f>'Scenario 2 Assumptions'!$B$6*('Scenario 2 Assumptions'!$D115+'Scenario 2 Assumptions'!$D116+'Scenario 2 Assumptions'!$D117+'Scenario 2 Assumptions'!$D118+'Scenario 2 Assumptions'!$D119+'Scenario 2 Assumptions'!$D120+'Scenario 2 Assumptions'!$D121+'Scenario 2 Assumptions'!$D122+'Scenario 2 Assumptions'!$D123+'Scenario 2 Assumptions'!$D124+'Scenario 2 Assumptions'!$D125+'Scenario 2 Assumptions'!$D126+'Scenario 2 Assumptions'!$D127+'Scenario 2 Assumptions'!$D128)</f>
        <v>1.6875000000000001E-2</v>
      </c>
      <c r="Q152" s="52">
        <f>'Scenario 2 Assumptions'!$B$6*('Scenario 2 Assumptions'!$D115+'Scenario 2 Assumptions'!$D116+'Scenario 2 Assumptions'!$D117+'Scenario 2 Assumptions'!$D118+'Scenario 2 Assumptions'!$D119+'Scenario 2 Assumptions'!$D120+'Scenario 2 Assumptions'!$D121+'Scenario 2 Assumptions'!$D122+'Scenario 2 Assumptions'!$D123+'Scenario 2 Assumptions'!$D124+'Scenario 2 Assumptions'!$D125+'Scenario 2 Assumptions'!$D126+'Scenario 2 Assumptions'!$D127+'Scenario 2 Assumptions'!$D128)</f>
        <v>1.6875000000000001E-2</v>
      </c>
      <c r="R152" s="52">
        <f>'Scenario 2 Assumptions'!$B$6*('Scenario 2 Assumptions'!$D115+'Scenario 2 Assumptions'!$D116+'Scenario 2 Assumptions'!$D117+'Scenario 2 Assumptions'!$D118+'Scenario 2 Assumptions'!$D119+'Scenario 2 Assumptions'!$D120+'Scenario 2 Assumptions'!$D121+'Scenario 2 Assumptions'!$D122+'Scenario 2 Assumptions'!$D123+'Scenario 2 Assumptions'!$D124+'Scenario 2 Assumptions'!$D125+'Scenario 2 Assumptions'!$D126+'Scenario 2 Assumptions'!$D127+'Scenario 2 Assumptions'!$D128)</f>
        <v>1.6875000000000001E-2</v>
      </c>
      <c r="S152" s="52">
        <f>'Scenario 2 Assumptions'!$B$6*('Scenario 2 Assumptions'!$D115+'Scenario 2 Assumptions'!$D116+'Scenario 2 Assumptions'!$D117+'Scenario 2 Assumptions'!$D118+'Scenario 2 Assumptions'!$D119+'Scenario 2 Assumptions'!$D120+'Scenario 2 Assumptions'!$D121+'Scenario 2 Assumptions'!$D122+'Scenario 2 Assumptions'!$D123+'Scenario 2 Assumptions'!$D124+'Scenario 2 Assumptions'!$D125+'Scenario 2 Assumptions'!$D126+'Scenario 2 Assumptions'!$D127+'Scenario 2 Assumptions'!$D128)</f>
        <v>1.6875000000000001E-2</v>
      </c>
      <c r="T152" s="52">
        <f>'Scenario 2 Assumptions'!$B$6*('Scenario 2 Assumptions'!$D115+'Scenario 2 Assumptions'!$D116+'Scenario 2 Assumptions'!$D117+'Scenario 2 Assumptions'!$D118+'Scenario 2 Assumptions'!$D119+'Scenario 2 Assumptions'!$D120+'Scenario 2 Assumptions'!$D121+'Scenario 2 Assumptions'!$D122+'Scenario 2 Assumptions'!$D123+'Scenario 2 Assumptions'!$D124+'Scenario 2 Assumptions'!$D125+'Scenario 2 Assumptions'!$D126+'Scenario 2 Assumptions'!$D127+'Scenario 2 Assumptions'!$D128)</f>
        <v>1.6875000000000001E-2</v>
      </c>
      <c r="U152" s="52">
        <f>'Scenario 2 Assumptions'!$B$6*('Scenario 2 Assumptions'!$D115+'Scenario 2 Assumptions'!$D116+'Scenario 2 Assumptions'!$D117+'Scenario 2 Assumptions'!$D118+'Scenario 2 Assumptions'!$D119+'Scenario 2 Assumptions'!$D120+'Scenario 2 Assumptions'!$D121+'Scenario 2 Assumptions'!$D122+'Scenario 2 Assumptions'!$D123+'Scenario 2 Assumptions'!$D124+'Scenario 2 Assumptions'!$D125+'Scenario 2 Assumptions'!$D126+'Scenario 2 Assumptions'!$D127+'Scenario 2 Assumptions'!$D128)</f>
        <v>1.6875000000000001E-2</v>
      </c>
      <c r="V152" s="288">
        <f>SUM(B152:U152)</f>
        <v>0.33749999999999991</v>
      </c>
      <c r="W152" s="133">
        <f>V152/20</f>
        <v>1.6874999999999994E-2</v>
      </c>
    </row>
    <row r="153" spans="1:23">
      <c r="A153" s="86" t="s">
        <v>1087</v>
      </c>
      <c r="B153" s="52">
        <f>'Scenario 2 Assumptions'!$B$6*('Scenario 2 Assumptions'!$D$129)</f>
        <v>4.0499999999999998E-3</v>
      </c>
      <c r="C153" s="52">
        <f>'Scenario 2 Assumptions'!$B$6*('Scenario 2 Assumptions'!$D$129)</f>
        <v>4.0499999999999998E-3</v>
      </c>
      <c r="D153" s="52">
        <f>'Scenario 2 Assumptions'!$B$6*('Scenario 2 Assumptions'!$D$129)</f>
        <v>4.0499999999999998E-3</v>
      </c>
      <c r="E153" s="52">
        <f>'Scenario 2 Assumptions'!$B$6*('Scenario 2 Assumptions'!$D$129)</f>
        <v>4.0499999999999998E-3</v>
      </c>
      <c r="F153" s="52">
        <f>'Scenario 2 Assumptions'!$B$6*('Scenario 2 Assumptions'!$D$129)</f>
        <v>4.0499999999999998E-3</v>
      </c>
      <c r="G153" s="52">
        <f>'Scenario 2 Assumptions'!$B$6*('Scenario 2 Assumptions'!$D$129)</f>
        <v>4.0499999999999998E-3</v>
      </c>
      <c r="H153" s="52">
        <f>'Scenario 2 Assumptions'!$B$6*('Scenario 2 Assumptions'!$D$129)</f>
        <v>4.0499999999999998E-3</v>
      </c>
      <c r="I153" s="52">
        <f>'Scenario 2 Assumptions'!$B$6*('Scenario 2 Assumptions'!$D$129)</f>
        <v>4.0499999999999998E-3</v>
      </c>
      <c r="J153" s="52">
        <f>'Scenario 2 Assumptions'!$B$6*('Scenario 2 Assumptions'!$D$129)</f>
        <v>4.0499999999999998E-3</v>
      </c>
      <c r="K153" s="52">
        <f>'Scenario 2 Assumptions'!$B$6*('Scenario 2 Assumptions'!$D$129)</f>
        <v>4.0499999999999998E-3</v>
      </c>
      <c r="L153" s="52">
        <f>'Scenario 2 Assumptions'!$B$6*('Scenario 2 Assumptions'!$D$129)</f>
        <v>4.0499999999999998E-3</v>
      </c>
      <c r="M153" s="52">
        <f>'Scenario 2 Assumptions'!$B$6*('Scenario 2 Assumptions'!$D$129)</f>
        <v>4.0499999999999998E-3</v>
      </c>
      <c r="N153" s="52">
        <f>'Scenario 2 Assumptions'!$B$6*('Scenario 2 Assumptions'!$D$129)</f>
        <v>4.0499999999999998E-3</v>
      </c>
      <c r="O153" s="52">
        <f>'Scenario 2 Assumptions'!$B$6*('Scenario 2 Assumptions'!$D$129)</f>
        <v>4.0499999999999998E-3</v>
      </c>
      <c r="P153" s="52">
        <f>'Scenario 2 Assumptions'!$B$6*('Scenario 2 Assumptions'!$D$129)</f>
        <v>4.0499999999999998E-3</v>
      </c>
      <c r="Q153" s="52">
        <f>'Scenario 2 Assumptions'!$B$6*('Scenario 2 Assumptions'!$D$129)</f>
        <v>4.0499999999999998E-3</v>
      </c>
      <c r="R153" s="52">
        <f>'Scenario 2 Assumptions'!$B$6*('Scenario 2 Assumptions'!$D$129)</f>
        <v>4.0499999999999998E-3</v>
      </c>
      <c r="S153" s="52">
        <f>'Scenario 2 Assumptions'!$B$6*('Scenario 2 Assumptions'!$D$129)</f>
        <v>4.0499999999999998E-3</v>
      </c>
      <c r="T153" s="52">
        <f>'Scenario 2 Assumptions'!$B$6*('Scenario 2 Assumptions'!$D$129)</f>
        <v>4.0499999999999998E-3</v>
      </c>
      <c r="U153" s="52">
        <f>'Scenario 2 Assumptions'!$B$6*('Scenario 2 Assumptions'!$D$129)</f>
        <v>4.0499999999999998E-3</v>
      </c>
      <c r="V153" s="288">
        <f>SUM(B153:U153)</f>
        <v>8.0999999999999975E-2</v>
      </c>
      <c r="W153" s="133">
        <f>V153/20</f>
        <v>4.0499999999999989E-3</v>
      </c>
    </row>
    <row r="154" spans="1:23">
      <c r="A154" s="86"/>
      <c r="B154" s="52"/>
      <c r="C154" s="52"/>
      <c r="D154" s="52"/>
      <c r="E154" s="52"/>
      <c r="F154" s="52"/>
      <c r="G154" s="52"/>
      <c r="H154" s="52"/>
      <c r="I154" s="52"/>
      <c r="J154" s="52"/>
      <c r="K154" s="52"/>
      <c r="L154" s="52"/>
      <c r="M154" s="52"/>
      <c r="N154" s="52"/>
      <c r="O154" s="52"/>
      <c r="P154" s="52"/>
      <c r="Q154" s="52"/>
      <c r="R154" s="52"/>
      <c r="S154" s="52"/>
      <c r="T154" s="52"/>
      <c r="U154" s="52"/>
      <c r="V154" s="288"/>
      <c r="W154" s="133"/>
    </row>
    <row r="155" spans="1:23">
      <c r="A155" s="10" t="s">
        <v>1157</v>
      </c>
      <c r="B155" s="52"/>
      <c r="C155" s="52"/>
      <c r="D155" s="52"/>
      <c r="E155" s="52"/>
      <c r="F155" s="52"/>
      <c r="G155" s="52"/>
      <c r="H155" s="52"/>
      <c r="I155" s="52"/>
      <c r="J155" s="52"/>
      <c r="K155" s="52"/>
      <c r="L155" s="52"/>
      <c r="M155" s="52"/>
      <c r="N155" s="52"/>
      <c r="O155" s="52"/>
      <c r="P155" s="52"/>
      <c r="Q155" s="52"/>
      <c r="R155" s="52"/>
      <c r="S155" s="52"/>
      <c r="T155" s="52"/>
      <c r="U155" s="52"/>
      <c r="V155" s="288"/>
      <c r="W155" s="133"/>
    </row>
    <row r="156" spans="1:23" ht="38.25">
      <c r="A156" s="327" t="s">
        <v>707</v>
      </c>
      <c r="B156" s="52">
        <f>'Scenario 2 Assumptions'!$C$282*'Scenario 2 Assumptions'!$B$279</f>
        <v>4.0500000000000001E-2</v>
      </c>
      <c r="C156" s="52">
        <f>'Scenario 2 Assumptions'!$C$282*'Scenario 2 Assumptions'!$B$279</f>
        <v>4.0500000000000001E-2</v>
      </c>
      <c r="D156" s="52">
        <f>'Scenario 2 Assumptions'!$C$282*'Scenario 2 Assumptions'!$B$279</f>
        <v>4.0500000000000001E-2</v>
      </c>
      <c r="E156" s="52">
        <f>'Scenario 2 Assumptions'!$C$282*'Scenario 2 Assumptions'!$B$279</f>
        <v>4.0500000000000001E-2</v>
      </c>
      <c r="F156" s="52">
        <f>'Scenario 2 Assumptions'!$C$282*'Scenario 2 Assumptions'!$B$279</f>
        <v>4.0500000000000001E-2</v>
      </c>
      <c r="G156" s="52">
        <f>'Scenario 2 Assumptions'!$C$282*'Scenario 2 Assumptions'!$B$279</f>
        <v>4.0500000000000001E-2</v>
      </c>
      <c r="H156" s="52">
        <f>'Scenario 2 Assumptions'!$C$282*'Scenario 2 Assumptions'!$B$279</f>
        <v>4.0500000000000001E-2</v>
      </c>
      <c r="I156" s="52">
        <f>'Scenario 2 Assumptions'!$C$282*'Scenario 2 Assumptions'!$B$279</f>
        <v>4.0500000000000001E-2</v>
      </c>
      <c r="J156" s="52">
        <f>'Scenario 2 Assumptions'!$C$282*'Scenario 2 Assumptions'!$B$279</f>
        <v>4.0500000000000001E-2</v>
      </c>
      <c r="K156" s="52">
        <f>'Scenario 2 Assumptions'!$C$282*'Scenario 2 Assumptions'!$B$279</f>
        <v>4.0500000000000001E-2</v>
      </c>
      <c r="L156" s="52">
        <f>'Scenario 2 Assumptions'!$C$282*'Scenario 2 Assumptions'!$B$279</f>
        <v>4.0500000000000001E-2</v>
      </c>
      <c r="M156" s="52">
        <f>'Scenario 2 Assumptions'!$C$282*'Scenario 2 Assumptions'!$B$279</f>
        <v>4.0500000000000001E-2</v>
      </c>
      <c r="N156" s="52">
        <f>'Scenario 2 Assumptions'!$C$282*'Scenario 2 Assumptions'!$B$279</f>
        <v>4.0500000000000001E-2</v>
      </c>
      <c r="O156" s="52">
        <f>'Scenario 2 Assumptions'!$C$282*'Scenario 2 Assumptions'!$B$279</f>
        <v>4.0500000000000001E-2</v>
      </c>
      <c r="P156" s="52">
        <f>'Scenario 2 Assumptions'!$C$282*'Scenario 2 Assumptions'!$B$279</f>
        <v>4.0500000000000001E-2</v>
      </c>
      <c r="Q156" s="52">
        <f>'Scenario 2 Assumptions'!$C$282*'Scenario 2 Assumptions'!$B$279</f>
        <v>4.0500000000000001E-2</v>
      </c>
      <c r="R156" s="52">
        <f>'Scenario 2 Assumptions'!$C$282*'Scenario 2 Assumptions'!$B$279</f>
        <v>4.0500000000000001E-2</v>
      </c>
      <c r="S156" s="52">
        <f>'Scenario 2 Assumptions'!$C$282*'Scenario 2 Assumptions'!$B$279</f>
        <v>4.0500000000000001E-2</v>
      </c>
      <c r="T156" s="52">
        <f>'Scenario 2 Assumptions'!$C$282*'Scenario 2 Assumptions'!$B$279</f>
        <v>4.0500000000000001E-2</v>
      </c>
      <c r="U156" s="52">
        <f>'Scenario 2 Assumptions'!$C$282*'Scenario 2 Assumptions'!$B$279</f>
        <v>4.0500000000000001E-2</v>
      </c>
      <c r="V156" s="288">
        <f>SUM(B156:U156)</f>
        <v>0.80999999999999983</v>
      </c>
      <c r="W156" s="133">
        <f>V156/20</f>
        <v>4.0499999999999994E-2</v>
      </c>
    </row>
    <row r="157" spans="1:23">
      <c r="A157" s="100"/>
      <c r="B157" s="52"/>
      <c r="C157" s="52"/>
      <c r="D157" s="52"/>
      <c r="E157" s="52"/>
      <c r="F157" s="52"/>
      <c r="G157" s="52"/>
      <c r="H157" s="52"/>
      <c r="I157" s="52"/>
      <c r="J157" s="52"/>
      <c r="K157" s="52"/>
      <c r="L157" s="52"/>
      <c r="M157" s="52"/>
      <c r="N157" s="52"/>
      <c r="O157" s="52"/>
      <c r="P157" s="52"/>
      <c r="Q157" s="52"/>
      <c r="R157" s="52"/>
      <c r="S157" s="52"/>
      <c r="T157" s="52"/>
      <c r="U157" s="52"/>
      <c r="V157" s="288"/>
      <c r="W157" s="133"/>
    </row>
    <row r="158" spans="1:23" s="100" customFormat="1">
      <c r="A158" s="197" t="s">
        <v>18</v>
      </c>
      <c r="V158" s="179"/>
      <c r="W158" s="132"/>
    </row>
    <row r="159" spans="1:23" ht="12" customHeight="1">
      <c r="A159" s="10" t="s">
        <v>1159</v>
      </c>
      <c r="B159" s="52"/>
      <c r="C159" s="52"/>
      <c r="D159" s="52"/>
      <c r="E159" s="52"/>
      <c r="F159" s="52"/>
      <c r="G159" s="52"/>
      <c r="H159" s="52"/>
      <c r="I159" s="52"/>
      <c r="J159" s="52"/>
      <c r="K159" s="52"/>
      <c r="L159" s="52"/>
      <c r="M159" s="52"/>
      <c r="N159" s="52"/>
      <c r="O159" s="52"/>
      <c r="P159" s="52"/>
      <c r="Q159" s="52"/>
      <c r="R159" s="52"/>
      <c r="S159" s="52"/>
      <c r="T159" s="52"/>
      <c r="U159" s="52"/>
      <c r="V159" s="288"/>
      <c r="W159" s="133"/>
    </row>
    <row r="160" spans="1:23">
      <c r="A160" s="100" t="s">
        <v>659</v>
      </c>
      <c r="B160" s="52"/>
      <c r="C160" s="52"/>
      <c r="D160" s="52"/>
      <c r="E160" s="52"/>
      <c r="F160" s="52"/>
      <c r="G160" s="52"/>
      <c r="H160" s="52"/>
      <c r="I160" s="52"/>
      <c r="J160" s="52"/>
      <c r="K160" s="52"/>
      <c r="L160" s="52"/>
      <c r="M160" s="52"/>
      <c r="N160" s="52"/>
      <c r="O160" s="52"/>
      <c r="P160" s="52"/>
      <c r="Q160" s="52"/>
      <c r="R160" s="52"/>
      <c r="S160" s="52"/>
      <c r="T160" s="52"/>
      <c r="U160" s="52"/>
      <c r="V160" s="288"/>
      <c r="W160" s="133"/>
    </row>
    <row r="161" spans="1:23">
      <c r="A161" s="28"/>
      <c r="B161" s="52"/>
      <c r="C161" s="52"/>
      <c r="D161" s="52"/>
      <c r="E161" s="52"/>
      <c r="F161" s="52"/>
      <c r="G161" s="52"/>
      <c r="H161" s="52"/>
      <c r="I161" s="52"/>
      <c r="J161" s="52"/>
      <c r="K161" s="52"/>
      <c r="L161" s="52"/>
      <c r="M161" s="52"/>
      <c r="N161" s="52"/>
      <c r="O161" s="52"/>
      <c r="P161" s="52"/>
      <c r="Q161" s="52"/>
      <c r="R161" s="52"/>
      <c r="S161" s="52"/>
      <c r="T161" s="52"/>
      <c r="U161" s="52"/>
      <c r="V161" s="288"/>
      <c r="W161" s="133"/>
    </row>
    <row r="162" spans="1:23" s="100" customFormat="1" ht="13.5" customHeight="1">
      <c r="A162" s="10" t="s">
        <v>1160</v>
      </c>
      <c r="B162" s="52"/>
      <c r="C162" s="52"/>
      <c r="D162" s="52"/>
      <c r="E162" s="52"/>
      <c r="F162" s="52"/>
      <c r="G162" s="52"/>
      <c r="H162" s="52"/>
      <c r="I162" s="52"/>
      <c r="J162" s="52"/>
      <c r="K162" s="52"/>
      <c r="L162" s="52"/>
      <c r="M162" s="52"/>
      <c r="N162" s="52"/>
      <c r="O162" s="52"/>
      <c r="P162" s="52"/>
      <c r="Q162" s="52"/>
      <c r="R162" s="52"/>
      <c r="S162" s="52"/>
      <c r="T162" s="52"/>
      <c r="U162" s="52"/>
      <c r="V162" s="180"/>
      <c r="W162" s="133"/>
    </row>
    <row r="163" spans="1:23" s="100" customFormat="1" ht="13.5" customHeight="1">
      <c r="A163" s="100" t="s">
        <v>659</v>
      </c>
      <c r="B163" s="52"/>
      <c r="C163" s="52"/>
      <c r="D163" s="52"/>
      <c r="E163" s="52"/>
      <c r="F163" s="52"/>
      <c r="G163" s="52"/>
      <c r="H163" s="52"/>
      <c r="I163" s="52"/>
      <c r="J163" s="52"/>
      <c r="K163" s="52"/>
      <c r="L163" s="52"/>
      <c r="M163" s="52"/>
      <c r="N163" s="52"/>
      <c r="O163" s="52"/>
      <c r="P163" s="52"/>
      <c r="Q163" s="52"/>
      <c r="R163" s="52"/>
      <c r="S163" s="52"/>
      <c r="T163" s="52"/>
      <c r="U163" s="52"/>
      <c r="V163" s="180"/>
      <c r="W163" s="133"/>
    </row>
    <row r="164" spans="1:23" s="100" customFormat="1" ht="13.5" customHeight="1">
      <c r="B164" s="52"/>
      <c r="C164" s="52"/>
      <c r="D164" s="52"/>
      <c r="E164" s="52"/>
      <c r="F164" s="52"/>
      <c r="G164" s="52"/>
      <c r="H164" s="52"/>
      <c r="I164" s="52"/>
      <c r="J164" s="52"/>
      <c r="K164" s="52"/>
      <c r="L164" s="52"/>
      <c r="M164" s="52"/>
      <c r="N164" s="52"/>
      <c r="O164" s="52"/>
      <c r="P164" s="52"/>
      <c r="Q164" s="52"/>
      <c r="R164" s="52"/>
      <c r="S164" s="52"/>
      <c r="T164" s="52"/>
      <c r="U164" s="52"/>
      <c r="V164" s="180"/>
      <c r="W164" s="133"/>
    </row>
    <row r="165" spans="1:23">
      <c r="A165" s="197" t="s">
        <v>1340</v>
      </c>
      <c r="B165" s="52"/>
      <c r="C165" s="52"/>
      <c r="D165" s="52"/>
      <c r="E165" s="52"/>
      <c r="F165" s="52"/>
      <c r="G165" s="52"/>
      <c r="H165" s="52"/>
      <c r="I165" s="52"/>
      <c r="J165" s="52"/>
      <c r="K165" s="52"/>
      <c r="L165" s="52"/>
      <c r="M165" s="52"/>
      <c r="N165" s="52"/>
      <c r="O165" s="52"/>
      <c r="P165" s="52"/>
      <c r="Q165" s="52"/>
      <c r="R165" s="52"/>
      <c r="S165" s="52"/>
      <c r="T165" s="52"/>
      <c r="U165" s="52"/>
      <c r="V165" s="288"/>
      <c r="W165" s="133"/>
    </row>
    <row r="166" spans="1:23" s="173" customFormat="1">
      <c r="A166" s="375" t="s">
        <v>1336</v>
      </c>
      <c r="B166" s="52">
        <v>0</v>
      </c>
      <c r="C166" s="52">
        <v>0</v>
      </c>
      <c r="D166" s="52">
        <v>0</v>
      </c>
      <c r="E166" s="52">
        <v>0</v>
      </c>
      <c r="F166" s="52">
        <v>0</v>
      </c>
      <c r="G166" s="52">
        <v>0</v>
      </c>
      <c r="H166" s="52">
        <v>0</v>
      </c>
      <c r="I166" s="52">
        <v>0</v>
      </c>
      <c r="J166" s="52">
        <v>0</v>
      </c>
      <c r="K166" s="52">
        <v>0</v>
      </c>
      <c r="L166" s="52">
        <v>0</v>
      </c>
      <c r="M166" s="52">
        <v>0</v>
      </c>
      <c r="N166" s="52">
        <v>0</v>
      </c>
      <c r="O166" s="52">
        <v>0</v>
      </c>
      <c r="P166" s="52">
        <v>0</v>
      </c>
      <c r="Q166" s="52">
        <v>0</v>
      </c>
      <c r="R166" s="52">
        <v>0</v>
      </c>
      <c r="S166" s="52">
        <v>0</v>
      </c>
      <c r="T166" s="52">
        <v>0</v>
      </c>
      <c r="U166" s="52">
        <v>0</v>
      </c>
      <c r="V166" s="180">
        <f t="shared" ref="V166" si="48">SUM(B166:U166)</f>
        <v>0</v>
      </c>
      <c r="W166" s="133">
        <f t="shared" ref="W166" si="49">V166/20</f>
        <v>0</v>
      </c>
    </row>
    <row r="167" spans="1:23" s="99" customFormat="1" ht="13.5" customHeight="1">
      <c r="A167" s="100" t="s">
        <v>1012</v>
      </c>
      <c r="B167" s="148">
        <f>SUM(B141:B156)</f>
        <v>9.6525E-2</v>
      </c>
      <c r="C167" s="148">
        <f t="shared" ref="C167:U167" si="50">SUM(C141:C156)</f>
        <v>7.6275000000000009E-2</v>
      </c>
      <c r="D167" s="148">
        <f t="shared" si="50"/>
        <v>7.6275000000000009E-2</v>
      </c>
      <c r="E167" s="148">
        <f t="shared" si="50"/>
        <v>9.6525E-2</v>
      </c>
      <c r="F167" s="148">
        <f t="shared" si="50"/>
        <v>7.6275000000000009E-2</v>
      </c>
      <c r="G167" s="148">
        <f t="shared" si="50"/>
        <v>7.6275000000000009E-2</v>
      </c>
      <c r="H167" s="148">
        <f t="shared" si="50"/>
        <v>9.6525E-2</v>
      </c>
      <c r="I167" s="148">
        <f t="shared" si="50"/>
        <v>7.6275000000000009E-2</v>
      </c>
      <c r="J167" s="148">
        <f t="shared" si="50"/>
        <v>7.6275000000000009E-2</v>
      </c>
      <c r="K167" s="148">
        <f t="shared" si="50"/>
        <v>9.6525E-2</v>
      </c>
      <c r="L167" s="148">
        <f t="shared" si="50"/>
        <v>7.6275000000000009E-2</v>
      </c>
      <c r="M167" s="148">
        <f t="shared" si="50"/>
        <v>7.6275000000000009E-2</v>
      </c>
      <c r="N167" s="148">
        <f t="shared" si="50"/>
        <v>9.6525E-2</v>
      </c>
      <c r="O167" s="148">
        <f t="shared" si="50"/>
        <v>7.6275000000000009E-2</v>
      </c>
      <c r="P167" s="148">
        <f t="shared" si="50"/>
        <v>7.6275000000000009E-2</v>
      </c>
      <c r="Q167" s="148">
        <f t="shared" si="50"/>
        <v>9.6525E-2</v>
      </c>
      <c r="R167" s="148">
        <f t="shared" si="50"/>
        <v>7.6275000000000009E-2</v>
      </c>
      <c r="S167" s="148">
        <f t="shared" si="50"/>
        <v>7.6275000000000009E-2</v>
      </c>
      <c r="T167" s="148">
        <f t="shared" si="50"/>
        <v>9.6525E-2</v>
      </c>
      <c r="U167" s="148">
        <f t="shared" si="50"/>
        <v>7.6275000000000009E-2</v>
      </c>
      <c r="V167" s="180">
        <f t="shared" ref="V167:V168" si="51">SUM(B167:U167)</f>
        <v>1.6672500000000003</v>
      </c>
      <c r="W167" s="133">
        <f t="shared" ref="W167:W168" si="52">V167/20</f>
        <v>8.336250000000002E-2</v>
      </c>
    </row>
    <row r="168" spans="1:23" s="99" customFormat="1" ht="40.5" customHeight="1">
      <c r="A168" s="375" t="s">
        <v>1337</v>
      </c>
      <c r="B168" s="148">
        <f>(('Scenario 2 Assumptions'!$D$218+'Scenario 2 Assumptions'!$D$219)*'Scenario 2 Assumptions'!$B$176)+B156</f>
        <v>5.3999999999999999E-2</v>
      </c>
      <c r="C168" s="148">
        <f>C167</f>
        <v>7.6275000000000009E-2</v>
      </c>
      <c r="D168" s="148">
        <f t="shared" ref="D168:U168" si="53">D167</f>
        <v>7.6275000000000009E-2</v>
      </c>
      <c r="E168" s="148">
        <f>(('Scenario 2 Assumptions'!$D$218+'Scenario 2 Assumptions'!$D$219)*'Scenario 2 Assumptions'!$B$176)+E156</f>
        <v>5.3999999999999999E-2</v>
      </c>
      <c r="F168" s="148">
        <f t="shared" si="53"/>
        <v>7.6275000000000009E-2</v>
      </c>
      <c r="G168" s="148">
        <f t="shared" si="53"/>
        <v>7.6275000000000009E-2</v>
      </c>
      <c r="H168" s="148">
        <f>(('Scenario 2 Assumptions'!$D$218+'Scenario 2 Assumptions'!$D$219)*'Scenario 2 Assumptions'!$B$176)+H156</f>
        <v>5.3999999999999999E-2</v>
      </c>
      <c r="I168" s="148">
        <f t="shared" si="53"/>
        <v>7.6275000000000009E-2</v>
      </c>
      <c r="J168" s="148">
        <f t="shared" si="53"/>
        <v>7.6275000000000009E-2</v>
      </c>
      <c r="K168" s="148">
        <f>(('Scenario 2 Assumptions'!$D$218+'Scenario 2 Assumptions'!$D$219)*'Scenario 2 Assumptions'!$B$176)+K156</f>
        <v>5.3999999999999999E-2</v>
      </c>
      <c r="L168" s="148">
        <f t="shared" si="53"/>
        <v>7.6275000000000009E-2</v>
      </c>
      <c r="M168" s="148">
        <f t="shared" si="53"/>
        <v>7.6275000000000009E-2</v>
      </c>
      <c r="N168" s="148">
        <f>(('Scenario 2 Assumptions'!$D$218+'Scenario 2 Assumptions'!$D$219)*'Scenario 2 Assumptions'!$B$176)+N156</f>
        <v>5.3999999999999999E-2</v>
      </c>
      <c r="O168" s="148">
        <f t="shared" si="53"/>
        <v>7.6275000000000009E-2</v>
      </c>
      <c r="P168" s="148">
        <f t="shared" si="53"/>
        <v>7.6275000000000009E-2</v>
      </c>
      <c r="Q168" s="148">
        <f>(('Scenario 2 Assumptions'!$D$218+'Scenario 2 Assumptions'!$D$219)*'Scenario 2 Assumptions'!$B$176)+Q156</f>
        <v>5.3999999999999999E-2</v>
      </c>
      <c r="R168" s="148">
        <f t="shared" si="53"/>
        <v>7.6275000000000009E-2</v>
      </c>
      <c r="S168" s="148">
        <f t="shared" si="53"/>
        <v>7.6275000000000009E-2</v>
      </c>
      <c r="T168" s="148">
        <f>(('Scenario 2 Assumptions'!$D$218+'Scenario 2 Assumptions'!$D$219)*'Scenario 2 Assumptions'!$B$176)+T156</f>
        <v>5.3999999999999999E-2</v>
      </c>
      <c r="U168" s="148">
        <f t="shared" si="53"/>
        <v>7.6275000000000009E-2</v>
      </c>
      <c r="V168" s="180">
        <f t="shared" si="51"/>
        <v>1.3695750000000004</v>
      </c>
      <c r="W168" s="133">
        <f t="shared" si="52"/>
        <v>6.8478750000000019E-2</v>
      </c>
    </row>
    <row r="169" spans="1:23" s="3" customFormat="1" ht="13.5" customHeight="1">
      <c r="A169" s="100" t="s">
        <v>1154</v>
      </c>
      <c r="B169" s="52">
        <f>B166+B167</f>
        <v>9.6525E-2</v>
      </c>
      <c r="C169" s="52">
        <f t="shared" ref="C169:U169" si="54">C166+C127</f>
        <v>0.52255000000000007</v>
      </c>
      <c r="D169" s="52">
        <f t="shared" si="54"/>
        <v>0.52255000000000007</v>
      </c>
      <c r="E169" s="52">
        <f t="shared" si="54"/>
        <v>0.69805000000000017</v>
      </c>
      <c r="F169" s="52">
        <f t="shared" si="54"/>
        <v>0.52255000000000007</v>
      </c>
      <c r="G169" s="52">
        <f t="shared" si="54"/>
        <v>0.52255000000000007</v>
      </c>
      <c r="H169" s="52">
        <f t="shared" si="54"/>
        <v>0.69805000000000017</v>
      </c>
      <c r="I169" s="52">
        <f t="shared" si="54"/>
        <v>0.52255000000000007</v>
      </c>
      <c r="J169" s="52">
        <f t="shared" si="54"/>
        <v>0.52255000000000007</v>
      </c>
      <c r="K169" s="52">
        <f t="shared" si="54"/>
        <v>0.69805000000000017</v>
      </c>
      <c r="L169" s="52">
        <f t="shared" si="54"/>
        <v>0.52255000000000007</v>
      </c>
      <c r="M169" s="52">
        <f t="shared" si="54"/>
        <v>0.52255000000000007</v>
      </c>
      <c r="N169" s="52">
        <f t="shared" si="54"/>
        <v>0.69805000000000017</v>
      </c>
      <c r="O169" s="52">
        <f t="shared" si="54"/>
        <v>0.52255000000000007</v>
      </c>
      <c r="P169" s="52">
        <f t="shared" si="54"/>
        <v>0.52255000000000007</v>
      </c>
      <c r="Q169" s="52">
        <f t="shared" si="54"/>
        <v>0.69805000000000017</v>
      </c>
      <c r="R169" s="52">
        <f t="shared" si="54"/>
        <v>0.52255000000000007</v>
      </c>
      <c r="S169" s="52">
        <f t="shared" si="54"/>
        <v>0.52255000000000007</v>
      </c>
      <c r="T169" s="52">
        <f t="shared" si="54"/>
        <v>0.69805000000000017</v>
      </c>
      <c r="U169" s="52">
        <f t="shared" si="54"/>
        <v>0.52255000000000007</v>
      </c>
      <c r="V169" s="288">
        <f>SUM(B169:U169)</f>
        <v>11.077975000000004</v>
      </c>
      <c r="W169" s="133">
        <f>V169/20</f>
        <v>0.55389875000000022</v>
      </c>
    </row>
    <row r="170" spans="1:23" s="3" customFormat="1" ht="13.5" customHeight="1">
      <c r="A170" s="4" t="s">
        <v>709</v>
      </c>
      <c r="B170" s="34">
        <f>B166+B168</f>
        <v>5.3999999999999999E-2</v>
      </c>
      <c r="C170" s="34">
        <f t="shared" ref="C170:U170" si="55">C166+C168</f>
        <v>7.6275000000000009E-2</v>
      </c>
      <c r="D170" s="34">
        <f t="shared" si="55"/>
        <v>7.6275000000000009E-2</v>
      </c>
      <c r="E170" s="34">
        <f t="shared" si="55"/>
        <v>5.3999999999999999E-2</v>
      </c>
      <c r="F170" s="34">
        <f t="shared" si="55"/>
        <v>7.6275000000000009E-2</v>
      </c>
      <c r="G170" s="34">
        <f t="shared" si="55"/>
        <v>7.6275000000000009E-2</v>
      </c>
      <c r="H170" s="34">
        <f t="shared" si="55"/>
        <v>5.3999999999999999E-2</v>
      </c>
      <c r="I170" s="34">
        <f t="shared" si="55"/>
        <v>7.6275000000000009E-2</v>
      </c>
      <c r="J170" s="34">
        <f t="shared" si="55"/>
        <v>7.6275000000000009E-2</v>
      </c>
      <c r="K170" s="34">
        <f t="shared" si="55"/>
        <v>5.3999999999999999E-2</v>
      </c>
      <c r="L170" s="34">
        <f t="shared" si="55"/>
        <v>7.6275000000000009E-2</v>
      </c>
      <c r="M170" s="34">
        <f t="shared" si="55"/>
        <v>7.6275000000000009E-2</v>
      </c>
      <c r="N170" s="34">
        <f t="shared" si="55"/>
        <v>5.3999999999999999E-2</v>
      </c>
      <c r="O170" s="34">
        <f t="shared" si="55"/>
        <v>7.6275000000000009E-2</v>
      </c>
      <c r="P170" s="34">
        <f t="shared" si="55"/>
        <v>7.6275000000000009E-2</v>
      </c>
      <c r="Q170" s="34">
        <f t="shared" si="55"/>
        <v>5.3999999999999999E-2</v>
      </c>
      <c r="R170" s="34">
        <f t="shared" si="55"/>
        <v>7.6275000000000009E-2</v>
      </c>
      <c r="S170" s="34">
        <f t="shared" si="55"/>
        <v>7.6275000000000009E-2</v>
      </c>
      <c r="T170" s="34">
        <f t="shared" si="55"/>
        <v>5.3999999999999999E-2</v>
      </c>
      <c r="U170" s="34">
        <f t="shared" si="55"/>
        <v>7.6275000000000009E-2</v>
      </c>
      <c r="V170" s="289">
        <f>SUM(B170:U170)</f>
        <v>1.3695750000000004</v>
      </c>
      <c r="W170" s="35">
        <f>V170/20</f>
        <v>6.8478750000000019E-2</v>
      </c>
    </row>
    <row r="171" spans="1:23" ht="13.5" customHeight="1">
      <c r="A171" s="165" t="s">
        <v>123</v>
      </c>
      <c r="B171" s="52">
        <v>0.96618357487922713</v>
      </c>
      <c r="C171" s="52">
        <v>0.93351070036640305</v>
      </c>
      <c r="D171" s="52">
        <v>0.90194270566802237</v>
      </c>
      <c r="E171" s="52">
        <v>0.87144222769857238</v>
      </c>
      <c r="F171" s="52">
        <v>0.84197316685852419</v>
      </c>
      <c r="G171" s="52">
        <v>0.81350064430775282</v>
      </c>
      <c r="H171" s="52">
        <v>0.78599096068381913</v>
      </c>
      <c r="I171" s="52">
        <v>0.75941155621625056</v>
      </c>
      <c r="J171" s="52">
        <v>0.73373097218961414</v>
      </c>
      <c r="K171" s="52">
        <v>0.70891881370977217</v>
      </c>
      <c r="L171" s="52">
        <v>0.68494571372924851</v>
      </c>
      <c r="M171" s="52">
        <v>0.66178329828912896</v>
      </c>
      <c r="N171" s="52">
        <v>0.63940415293635666</v>
      </c>
      <c r="O171" s="52">
        <v>0.61778179027667302</v>
      </c>
      <c r="P171" s="52">
        <v>0.59689061862480497</v>
      </c>
      <c r="Q171" s="52">
        <v>0.57670591171478747</v>
      </c>
      <c r="R171" s="52">
        <v>0.55720377943457733</v>
      </c>
      <c r="S171" s="52">
        <v>0.53836113955031628</v>
      </c>
      <c r="T171" s="52">
        <v>0.52015569038677911</v>
      </c>
      <c r="U171" s="52">
        <v>0.50256588443167061</v>
      </c>
      <c r="V171" s="289"/>
      <c r="W171" s="35"/>
    </row>
    <row r="172" spans="1:23" s="81" customFormat="1" ht="13.5" customHeight="1">
      <c r="A172" s="100" t="s">
        <v>1033</v>
      </c>
      <c r="B172" s="52">
        <f t="shared" ref="B172:U172" si="56">B171*B169</f>
        <v>9.3260869565217397E-2</v>
      </c>
      <c r="C172" s="52">
        <f t="shared" si="56"/>
        <v>0.48780601647646399</v>
      </c>
      <c r="D172" s="52">
        <f t="shared" si="56"/>
        <v>0.47131016084682514</v>
      </c>
      <c r="E172" s="52">
        <f t="shared" si="56"/>
        <v>0.60831024704498859</v>
      </c>
      <c r="F172" s="52">
        <f t="shared" si="56"/>
        <v>0.4399730783419219</v>
      </c>
      <c r="G172" s="52">
        <f t="shared" si="56"/>
        <v>0.4250947616830163</v>
      </c>
      <c r="H172" s="52">
        <f t="shared" si="56"/>
        <v>0.54866099010534009</v>
      </c>
      <c r="I172" s="52">
        <f t="shared" si="56"/>
        <v>0.39683050870080178</v>
      </c>
      <c r="J172" s="52">
        <f t="shared" si="56"/>
        <v>0.38341111951768292</v>
      </c>
      <c r="K172" s="52">
        <f t="shared" si="56"/>
        <v>0.49486077791010658</v>
      </c>
      <c r="L172" s="52">
        <f t="shared" si="56"/>
        <v>0.35791838270921883</v>
      </c>
      <c r="M172" s="52">
        <f t="shared" si="56"/>
        <v>0.34581486252098437</v>
      </c>
      <c r="N172" s="52">
        <f t="shared" si="56"/>
        <v>0.44633606895722389</v>
      </c>
      <c r="O172" s="52">
        <f t="shared" si="56"/>
        <v>0.32282187450907551</v>
      </c>
      <c r="P172" s="52">
        <f t="shared" si="56"/>
        <v>0.31190519276239187</v>
      </c>
      <c r="Q172" s="52">
        <f t="shared" si="56"/>
        <v>0.40256956167250751</v>
      </c>
      <c r="R172" s="52">
        <f t="shared" si="56"/>
        <v>0.2911668349435384</v>
      </c>
      <c r="S172" s="52">
        <f t="shared" si="56"/>
        <v>0.28132061347201781</v>
      </c>
      <c r="T172" s="52">
        <f t="shared" si="56"/>
        <v>0.36309467967449127</v>
      </c>
      <c r="U172" s="52">
        <f t="shared" si="56"/>
        <v>0.26261580290976949</v>
      </c>
      <c r="V172" s="180">
        <f>SUM(B172:U172)</f>
        <v>7.7350824043235837</v>
      </c>
      <c r="W172" s="133"/>
    </row>
    <row r="173" spans="1:23" s="3" customFormat="1" ht="27" customHeight="1">
      <c r="A173" s="260" t="s">
        <v>1037</v>
      </c>
      <c r="B173" s="34">
        <f t="shared" ref="B173:U173" si="57">B171*B170</f>
        <v>5.2173913043478265E-2</v>
      </c>
      <c r="C173" s="34">
        <f t="shared" si="57"/>
        <v>7.1203528670447408E-2</v>
      </c>
      <c r="D173" s="34">
        <f t="shared" si="57"/>
        <v>6.8795679874828417E-2</v>
      </c>
      <c r="E173" s="34">
        <f t="shared" si="57"/>
        <v>4.7057880295722908E-2</v>
      </c>
      <c r="F173" s="34">
        <f t="shared" si="57"/>
        <v>6.4221503302133942E-2</v>
      </c>
      <c r="G173" s="34">
        <f t="shared" si="57"/>
        <v>6.2049761644573855E-2</v>
      </c>
      <c r="H173" s="34">
        <f t="shared" si="57"/>
        <v>4.2443511876926229E-2</v>
      </c>
      <c r="I173" s="34">
        <f t="shared" si="57"/>
        <v>5.7924116450394518E-2</v>
      </c>
      <c r="J173" s="34">
        <f t="shared" si="57"/>
        <v>5.5965329903762823E-2</v>
      </c>
      <c r="K173" s="34">
        <f t="shared" si="57"/>
        <v>3.8281615940327696E-2</v>
      </c>
      <c r="L173" s="34">
        <f t="shared" si="57"/>
        <v>5.2244234314698434E-2</v>
      </c>
      <c r="M173" s="34">
        <f t="shared" si="57"/>
        <v>5.0477521077003318E-2</v>
      </c>
      <c r="N173" s="34">
        <f t="shared" si="57"/>
        <v>3.452782425856326E-2</v>
      </c>
      <c r="O173" s="34">
        <f t="shared" si="57"/>
        <v>4.712130605335324E-2</v>
      </c>
      <c r="P173" s="34">
        <f t="shared" si="57"/>
        <v>4.5527831935607006E-2</v>
      </c>
      <c r="Q173" s="34">
        <f t="shared" si="57"/>
        <v>3.1142119232598523E-2</v>
      </c>
      <c r="R173" s="34">
        <f t="shared" si="57"/>
        <v>4.250071827637239E-2</v>
      </c>
      <c r="S173" s="34">
        <f t="shared" si="57"/>
        <v>4.1063495919200381E-2</v>
      </c>
      <c r="T173" s="34">
        <f t="shared" si="57"/>
        <v>2.8088407280886071E-2</v>
      </c>
      <c r="U173" s="34">
        <f t="shared" si="57"/>
        <v>3.8333212835025679E-2</v>
      </c>
      <c r="V173" s="380">
        <f>SUM(B173:U173)</f>
        <v>0.97114351218590445</v>
      </c>
      <c r="W173" s="35"/>
    </row>
    <row r="174" spans="1:23" s="3" customFormat="1" ht="12.75" customHeight="1">
      <c r="A174" s="260"/>
      <c r="B174" s="34"/>
      <c r="C174" s="34"/>
      <c r="D174" s="34"/>
      <c r="E174" s="34"/>
      <c r="F174" s="34"/>
      <c r="G174" s="34"/>
      <c r="H174" s="34"/>
      <c r="I174" s="34"/>
      <c r="J174" s="34"/>
      <c r="K174" s="34"/>
      <c r="L174" s="34"/>
      <c r="M174" s="34"/>
      <c r="N174" s="34"/>
      <c r="O174" s="34"/>
      <c r="P174" s="34"/>
      <c r="Q174" s="34"/>
      <c r="R174" s="34"/>
      <c r="S174" s="34"/>
      <c r="T174" s="34"/>
      <c r="U174" s="34"/>
      <c r="V174" s="182"/>
      <c r="W174" s="35"/>
    </row>
    <row r="175" spans="1:23" s="3" customFormat="1" ht="25.5">
      <c r="A175" s="286" t="s">
        <v>1349</v>
      </c>
      <c r="B175" s="284">
        <f>('Scenario 2 Assumptions'!$D$218+'Scenario 2 Assumptions'!$D$219)*'Scenario 2 Assumptions'!$B$176</f>
        <v>1.35E-2</v>
      </c>
      <c r="C175" s="284">
        <v>0</v>
      </c>
      <c r="D175" s="284">
        <v>0</v>
      </c>
      <c r="E175" s="284">
        <f>('Scenario 2 Assumptions'!$D$218+'Scenario 2 Assumptions'!$D$219)*'Scenario 2 Assumptions'!$B$176</f>
        <v>1.35E-2</v>
      </c>
      <c r="F175" s="284">
        <v>0</v>
      </c>
      <c r="G175" s="284">
        <v>0</v>
      </c>
      <c r="H175" s="284">
        <f>('Scenario 2 Assumptions'!$D$218+'Scenario 2 Assumptions'!$D$219)*'Scenario 2 Assumptions'!$B$176</f>
        <v>1.35E-2</v>
      </c>
      <c r="I175" s="284">
        <v>0</v>
      </c>
      <c r="J175" s="284">
        <v>0</v>
      </c>
      <c r="K175" s="284">
        <f>('Scenario 2 Assumptions'!$D$218+'Scenario 2 Assumptions'!$D$219)*'Scenario 2 Assumptions'!$B$176</f>
        <v>1.35E-2</v>
      </c>
      <c r="L175" s="284">
        <v>0</v>
      </c>
      <c r="M175" s="284">
        <v>0</v>
      </c>
      <c r="N175" s="284">
        <f>('Scenario 2 Assumptions'!$D$218+'Scenario 2 Assumptions'!$D$219)*'Scenario 2 Assumptions'!$B$176</f>
        <v>1.35E-2</v>
      </c>
      <c r="O175" s="284">
        <v>0</v>
      </c>
      <c r="P175" s="284">
        <v>0</v>
      </c>
      <c r="Q175" s="284">
        <f>('Scenario 2 Assumptions'!$D$218+'Scenario 2 Assumptions'!$D$219)*'Scenario 2 Assumptions'!$B$176</f>
        <v>1.35E-2</v>
      </c>
      <c r="R175" s="284">
        <v>0</v>
      </c>
      <c r="S175" s="284">
        <v>0</v>
      </c>
      <c r="T175" s="284">
        <f>('Scenario 2 Assumptions'!$D$218+'Scenario 2 Assumptions'!$D$219)*'Scenario 2 Assumptions'!$B$176</f>
        <v>1.35E-2</v>
      </c>
      <c r="U175" s="284">
        <v>0</v>
      </c>
      <c r="V175" s="290">
        <f>SUM(B175:U175)</f>
        <v>9.4500000000000001E-2</v>
      </c>
      <c r="W175" s="285">
        <f>V175/20</f>
        <v>4.725E-3</v>
      </c>
    </row>
    <row r="176" spans="1:23" s="264" customFormat="1" ht="27" customHeight="1">
      <c r="A176" s="286" t="s">
        <v>1350</v>
      </c>
      <c r="B176" s="284">
        <f>B170-B175</f>
        <v>4.0500000000000001E-2</v>
      </c>
      <c r="C176" s="284">
        <f t="shared" ref="C176:U176" si="58">C170-C175</f>
        <v>7.6275000000000009E-2</v>
      </c>
      <c r="D176" s="284">
        <f t="shared" si="58"/>
        <v>7.6275000000000009E-2</v>
      </c>
      <c r="E176" s="284">
        <f t="shared" si="58"/>
        <v>4.0500000000000001E-2</v>
      </c>
      <c r="F176" s="284">
        <f t="shared" si="58"/>
        <v>7.6275000000000009E-2</v>
      </c>
      <c r="G176" s="284">
        <f t="shared" si="58"/>
        <v>7.6275000000000009E-2</v>
      </c>
      <c r="H176" s="284">
        <f t="shared" si="58"/>
        <v>4.0500000000000001E-2</v>
      </c>
      <c r="I176" s="284">
        <f t="shared" si="58"/>
        <v>7.6275000000000009E-2</v>
      </c>
      <c r="J176" s="284">
        <f t="shared" si="58"/>
        <v>7.6275000000000009E-2</v>
      </c>
      <c r="K176" s="284">
        <f t="shared" si="58"/>
        <v>4.0500000000000001E-2</v>
      </c>
      <c r="L176" s="284">
        <f t="shared" si="58"/>
        <v>7.6275000000000009E-2</v>
      </c>
      <c r="M176" s="284">
        <f t="shared" si="58"/>
        <v>7.6275000000000009E-2</v>
      </c>
      <c r="N176" s="284">
        <f t="shared" si="58"/>
        <v>4.0500000000000001E-2</v>
      </c>
      <c r="O176" s="284">
        <f t="shared" si="58"/>
        <v>7.6275000000000009E-2</v>
      </c>
      <c r="P176" s="284">
        <f t="shared" si="58"/>
        <v>7.6275000000000009E-2</v>
      </c>
      <c r="Q176" s="284">
        <f t="shared" si="58"/>
        <v>4.0500000000000001E-2</v>
      </c>
      <c r="R176" s="284">
        <f t="shared" si="58"/>
        <v>7.6275000000000009E-2</v>
      </c>
      <c r="S176" s="284">
        <f t="shared" si="58"/>
        <v>7.6275000000000009E-2</v>
      </c>
      <c r="T176" s="284">
        <f t="shared" si="58"/>
        <v>4.0500000000000001E-2</v>
      </c>
      <c r="U176" s="284">
        <f t="shared" si="58"/>
        <v>7.6275000000000009E-2</v>
      </c>
      <c r="V176" s="290">
        <f>SUM(B176:U176)</f>
        <v>1.2750750000000002</v>
      </c>
      <c r="W176" s="285">
        <f>V176/20</f>
        <v>6.3753750000000012E-2</v>
      </c>
    </row>
    <row r="177" spans="1:23" ht="13.5" thickBot="1">
      <c r="A177" s="266"/>
      <c r="B177" s="189"/>
      <c r="C177" s="189"/>
      <c r="D177" s="189"/>
      <c r="E177" s="189"/>
      <c r="F177" s="189"/>
      <c r="G177" s="189"/>
      <c r="H177" s="189"/>
      <c r="I177" s="189"/>
      <c r="J177" s="189"/>
      <c r="K177" s="189"/>
      <c r="L177" s="189"/>
      <c r="M177" s="189"/>
      <c r="N177" s="189"/>
      <c r="O177" s="189"/>
      <c r="P177" s="189"/>
      <c r="Q177" s="189"/>
      <c r="R177" s="189"/>
      <c r="S177" s="189"/>
      <c r="T177" s="189"/>
      <c r="U177" s="189"/>
      <c r="V177" s="294"/>
      <c r="W177" s="163"/>
    </row>
    <row r="178" spans="1:23">
      <c r="A178" s="216"/>
      <c r="V178" s="287"/>
      <c r="W178" s="130"/>
    </row>
    <row r="179" spans="1:23">
      <c r="A179" s="167" t="s">
        <v>1043</v>
      </c>
      <c r="D179" s="74"/>
      <c r="V179" s="292"/>
      <c r="W179" s="140"/>
    </row>
    <row r="180" spans="1:23">
      <c r="A180" s="167"/>
      <c r="V180" s="292"/>
      <c r="W180" s="140"/>
    </row>
    <row r="181" spans="1:23">
      <c r="A181" s="197" t="s">
        <v>17</v>
      </c>
      <c r="B181" s="52"/>
      <c r="C181" s="52"/>
      <c r="D181" s="52"/>
      <c r="E181" s="52"/>
      <c r="F181" s="52"/>
      <c r="G181" s="52"/>
      <c r="H181" s="52"/>
      <c r="I181" s="52"/>
      <c r="J181" s="52"/>
      <c r="K181" s="52"/>
      <c r="L181" s="52"/>
      <c r="M181" s="52"/>
      <c r="N181" s="52"/>
      <c r="O181" s="52"/>
      <c r="P181" s="52"/>
      <c r="Q181" s="52"/>
      <c r="R181" s="52"/>
      <c r="S181" s="52"/>
      <c r="T181" s="52"/>
      <c r="U181" s="52"/>
      <c r="V181" s="288"/>
      <c r="W181" s="133"/>
    </row>
    <row r="182" spans="1:23">
      <c r="A182" s="10" t="s">
        <v>471</v>
      </c>
      <c r="B182" s="52"/>
      <c r="C182" s="52"/>
      <c r="D182" s="52"/>
      <c r="E182" s="52"/>
      <c r="F182" s="52"/>
      <c r="G182" s="52"/>
      <c r="H182" s="52"/>
      <c r="I182" s="52"/>
      <c r="J182" s="52"/>
      <c r="K182" s="52"/>
      <c r="L182" s="52"/>
      <c r="M182" s="52"/>
      <c r="N182" s="52"/>
      <c r="O182" s="52"/>
      <c r="P182" s="52"/>
      <c r="Q182" s="52"/>
      <c r="R182" s="52"/>
      <c r="S182" s="52"/>
      <c r="T182" s="52"/>
      <c r="U182" s="52"/>
      <c r="V182" s="288"/>
      <c r="W182" s="133"/>
    </row>
    <row r="183" spans="1:23" s="100" customFormat="1">
      <c r="A183" s="165" t="s">
        <v>1011</v>
      </c>
      <c r="B183" s="148">
        <f>('Scenario 2 Assumptions'!$D223+'Scenario 2 Assumptions'!$D224+'Scenario 2 Assumptions'!$D225+'Scenario 2 Assumptions'!$D226)*'Scenario 2 Assumptions'!$B$176</f>
        <v>2.7E-2</v>
      </c>
      <c r="C183" s="148">
        <v>0</v>
      </c>
      <c r="D183" s="148">
        <v>0</v>
      </c>
      <c r="E183" s="148">
        <f>('Scenario 2 Assumptions'!$D223+'Scenario 2 Assumptions'!$D224+'Scenario 2 Assumptions'!$D225+'Scenario 2 Assumptions'!$D226)*'Scenario 2 Assumptions'!$B$176</f>
        <v>2.7E-2</v>
      </c>
      <c r="F183" s="148">
        <v>0</v>
      </c>
      <c r="G183" s="148">
        <v>0</v>
      </c>
      <c r="H183" s="148">
        <f>('Scenario 2 Assumptions'!$D223+'Scenario 2 Assumptions'!$D224+'Scenario 2 Assumptions'!$D225+'Scenario 2 Assumptions'!$D226)*'Scenario 2 Assumptions'!$B$176</f>
        <v>2.7E-2</v>
      </c>
      <c r="I183" s="148">
        <v>0</v>
      </c>
      <c r="J183" s="148">
        <v>0</v>
      </c>
      <c r="K183" s="148">
        <f>('Scenario 2 Assumptions'!$D223+'Scenario 2 Assumptions'!$D224+'Scenario 2 Assumptions'!$D225+'Scenario 2 Assumptions'!$D226)*'Scenario 2 Assumptions'!$B$176</f>
        <v>2.7E-2</v>
      </c>
      <c r="L183" s="148">
        <v>0</v>
      </c>
      <c r="M183" s="148">
        <v>0</v>
      </c>
      <c r="N183" s="148">
        <f>('Scenario 2 Assumptions'!$D223+'Scenario 2 Assumptions'!$D224+'Scenario 2 Assumptions'!$D225+'Scenario 2 Assumptions'!$D226)*'Scenario 2 Assumptions'!$B$176</f>
        <v>2.7E-2</v>
      </c>
      <c r="O183" s="148">
        <v>0</v>
      </c>
      <c r="P183" s="148">
        <v>0</v>
      </c>
      <c r="Q183" s="148">
        <f>('Scenario 2 Assumptions'!$D223+'Scenario 2 Assumptions'!$D224+'Scenario 2 Assumptions'!$D225+'Scenario 2 Assumptions'!$D226)*'Scenario 2 Assumptions'!$B$176</f>
        <v>2.7E-2</v>
      </c>
      <c r="R183" s="148">
        <v>0</v>
      </c>
      <c r="S183" s="148">
        <v>0</v>
      </c>
      <c r="T183" s="148">
        <f>('Scenario 2 Assumptions'!$D223+'Scenario 2 Assumptions'!$D224+'Scenario 2 Assumptions'!$D225+'Scenario 2 Assumptions'!$D226)*'Scenario 2 Assumptions'!$B$176</f>
        <v>2.7E-2</v>
      </c>
      <c r="U183" s="148">
        <v>0</v>
      </c>
      <c r="V183" s="180">
        <f>SUM(B183:U183)</f>
        <v>0.189</v>
      </c>
      <c r="W183" s="166">
        <f>V183/20</f>
        <v>9.4500000000000001E-3</v>
      </c>
    </row>
    <row r="184" spans="1:23" s="100" customFormat="1">
      <c r="A184" s="165" t="s">
        <v>982</v>
      </c>
      <c r="B184" s="148">
        <f>('Scenario 2 Assumptions'!$D227)*'Scenario 2 Assumptions'!$B$176</f>
        <v>6.7499999999999999E-3</v>
      </c>
      <c r="C184" s="52">
        <f>SUM(C183:C183)</f>
        <v>0</v>
      </c>
      <c r="D184" s="52">
        <f>SUM(D183:D183)</f>
        <v>0</v>
      </c>
      <c r="E184" s="148">
        <f>('Scenario 2 Assumptions'!$D227)*'Scenario 2 Assumptions'!$B$176</f>
        <v>6.7499999999999999E-3</v>
      </c>
      <c r="F184" s="52">
        <f>SUM(F183:F183)</f>
        <v>0</v>
      </c>
      <c r="G184" s="52">
        <f>SUM(G183:G183)</f>
        <v>0</v>
      </c>
      <c r="H184" s="148">
        <f>('Scenario 2 Assumptions'!$D227)*'Scenario 2 Assumptions'!$B$176</f>
        <v>6.7499999999999999E-3</v>
      </c>
      <c r="I184" s="52">
        <f>SUM(I183:I183)</f>
        <v>0</v>
      </c>
      <c r="J184" s="52">
        <f>SUM(J183:J183)</f>
        <v>0</v>
      </c>
      <c r="K184" s="148">
        <f>('Scenario 2 Assumptions'!$D227)*'Scenario 2 Assumptions'!$B$176</f>
        <v>6.7499999999999999E-3</v>
      </c>
      <c r="L184" s="52">
        <f>SUM(L183:L183)</f>
        <v>0</v>
      </c>
      <c r="M184" s="52">
        <f>SUM(M183:M183)</f>
        <v>0</v>
      </c>
      <c r="N184" s="148">
        <f>('Scenario 2 Assumptions'!$D227)*'Scenario 2 Assumptions'!$B$176</f>
        <v>6.7499999999999999E-3</v>
      </c>
      <c r="O184" s="52">
        <f>SUM(O183:O183)</f>
        <v>0</v>
      </c>
      <c r="P184" s="52">
        <f>SUM(P183:P183)</f>
        <v>0</v>
      </c>
      <c r="Q184" s="148">
        <f>('Scenario 2 Assumptions'!$D227)*'Scenario 2 Assumptions'!$B$176</f>
        <v>6.7499999999999999E-3</v>
      </c>
      <c r="R184" s="52">
        <f>SUM(R183:R183)</f>
        <v>0</v>
      </c>
      <c r="S184" s="52">
        <f>SUM(S183:S183)</f>
        <v>0</v>
      </c>
      <c r="T184" s="148">
        <f>('Scenario 2 Assumptions'!$D227)*'Scenario 2 Assumptions'!$B$176</f>
        <v>6.7499999999999999E-3</v>
      </c>
      <c r="U184" s="148">
        <v>0</v>
      </c>
      <c r="V184" s="180">
        <f>SUM(B184:U184)</f>
        <v>4.725E-2</v>
      </c>
      <c r="W184" s="166">
        <f>V184/20</f>
        <v>2.3625E-3</v>
      </c>
    </row>
    <row r="185" spans="1:23" s="81" customFormat="1">
      <c r="A185" s="165" t="s">
        <v>1137</v>
      </c>
      <c r="B185" s="148">
        <f>('Scenario 2 Assumptions'!$D228)*'Scenario 2 Assumptions'!$B$176</f>
        <v>1.35E-2</v>
      </c>
      <c r="C185" s="52">
        <f t="shared" ref="C185:C186" si="59">SUM(C184:C184)</f>
        <v>0</v>
      </c>
      <c r="D185" s="52">
        <f t="shared" ref="D185:D186" si="60">SUM(D184:D184)</f>
        <v>0</v>
      </c>
      <c r="E185" s="148">
        <f>('Scenario 2 Assumptions'!$D228)*'Scenario 2 Assumptions'!$B$176</f>
        <v>1.35E-2</v>
      </c>
      <c r="F185" s="52">
        <f t="shared" ref="F185:F186" si="61">SUM(F184:F184)</f>
        <v>0</v>
      </c>
      <c r="G185" s="52">
        <f t="shared" ref="G185:G186" si="62">SUM(G184:G184)</f>
        <v>0</v>
      </c>
      <c r="H185" s="148">
        <f>('Scenario 2 Assumptions'!$D228)*'Scenario 2 Assumptions'!$B$176</f>
        <v>1.35E-2</v>
      </c>
      <c r="I185" s="52">
        <f t="shared" ref="I185:I186" si="63">SUM(I184:I184)</f>
        <v>0</v>
      </c>
      <c r="J185" s="52">
        <f t="shared" ref="J185:J186" si="64">SUM(J184:J184)</f>
        <v>0</v>
      </c>
      <c r="K185" s="148">
        <f>('Scenario 2 Assumptions'!$D228)*'Scenario 2 Assumptions'!$B$176</f>
        <v>1.35E-2</v>
      </c>
      <c r="L185" s="52">
        <f t="shared" ref="L185:L186" si="65">SUM(L184:L184)</f>
        <v>0</v>
      </c>
      <c r="M185" s="52">
        <f t="shared" ref="M185:M186" si="66">SUM(M184:M184)</f>
        <v>0</v>
      </c>
      <c r="N185" s="148">
        <f>('Scenario 2 Assumptions'!$D228)*'Scenario 2 Assumptions'!$B$176</f>
        <v>1.35E-2</v>
      </c>
      <c r="O185" s="52">
        <f t="shared" ref="O185:O186" si="67">SUM(O184:O184)</f>
        <v>0</v>
      </c>
      <c r="P185" s="52">
        <f t="shared" ref="P185:P186" si="68">SUM(P184:P184)</f>
        <v>0</v>
      </c>
      <c r="Q185" s="148">
        <f>('Scenario 2 Assumptions'!$D228)*'Scenario 2 Assumptions'!$B$176</f>
        <v>1.35E-2</v>
      </c>
      <c r="R185" s="52">
        <f t="shared" ref="R185:R186" si="69">SUM(R184:R184)</f>
        <v>0</v>
      </c>
      <c r="S185" s="52">
        <f t="shared" ref="S185:S186" si="70">SUM(S184:S184)</f>
        <v>0</v>
      </c>
      <c r="T185" s="148">
        <f>('Scenario 2 Assumptions'!$D228)*'Scenario 2 Assumptions'!$B$176</f>
        <v>1.35E-2</v>
      </c>
      <c r="U185" s="148">
        <v>0</v>
      </c>
      <c r="V185" s="288">
        <f t="shared" ref="V185:V186" si="71">SUM(B185:U185)</f>
        <v>9.4500000000000001E-2</v>
      </c>
      <c r="W185" s="161">
        <f t="shared" ref="W185:W186" si="72">V185/20</f>
        <v>4.725E-3</v>
      </c>
    </row>
    <row r="186" spans="1:23" s="81" customFormat="1">
      <c r="A186" s="165" t="s">
        <v>1136</v>
      </c>
      <c r="B186" s="148">
        <f>('Scenario 2 Assumptions'!$D229)*'Scenario 2 Assumptions'!$B$176</f>
        <v>1.35E-2</v>
      </c>
      <c r="C186" s="52">
        <f t="shared" si="59"/>
        <v>0</v>
      </c>
      <c r="D186" s="52">
        <f t="shared" si="60"/>
        <v>0</v>
      </c>
      <c r="E186" s="148">
        <f>('Scenario 2 Assumptions'!$D229)*'Scenario 2 Assumptions'!$B$176</f>
        <v>1.35E-2</v>
      </c>
      <c r="F186" s="52">
        <f t="shared" si="61"/>
        <v>0</v>
      </c>
      <c r="G186" s="52">
        <f t="shared" si="62"/>
        <v>0</v>
      </c>
      <c r="H186" s="148">
        <f>('Scenario 2 Assumptions'!$D229)*'Scenario 2 Assumptions'!$B$176</f>
        <v>1.35E-2</v>
      </c>
      <c r="I186" s="52">
        <f t="shared" si="63"/>
        <v>0</v>
      </c>
      <c r="J186" s="52">
        <f t="shared" si="64"/>
        <v>0</v>
      </c>
      <c r="K186" s="148">
        <f>('Scenario 2 Assumptions'!$D229)*'Scenario 2 Assumptions'!$B$176</f>
        <v>1.35E-2</v>
      </c>
      <c r="L186" s="52">
        <f t="shared" si="65"/>
        <v>0</v>
      </c>
      <c r="M186" s="52">
        <f t="shared" si="66"/>
        <v>0</v>
      </c>
      <c r="N186" s="148">
        <f>('Scenario 2 Assumptions'!$D229)*'Scenario 2 Assumptions'!$B$176</f>
        <v>1.35E-2</v>
      </c>
      <c r="O186" s="52">
        <f t="shared" si="67"/>
        <v>0</v>
      </c>
      <c r="P186" s="52">
        <f t="shared" si="68"/>
        <v>0</v>
      </c>
      <c r="Q186" s="148">
        <f>('Scenario 2 Assumptions'!$D229)*'Scenario 2 Assumptions'!$B$176</f>
        <v>1.35E-2</v>
      </c>
      <c r="R186" s="52">
        <f t="shared" si="69"/>
        <v>0</v>
      </c>
      <c r="S186" s="52">
        <f t="shared" si="70"/>
        <v>0</v>
      </c>
      <c r="T186" s="148">
        <f>('Scenario 2 Assumptions'!$D229)*'Scenario 2 Assumptions'!$B$176</f>
        <v>1.35E-2</v>
      </c>
      <c r="U186" s="148">
        <v>0</v>
      </c>
      <c r="V186" s="288">
        <f t="shared" si="71"/>
        <v>9.4500000000000001E-2</v>
      </c>
      <c r="W186" s="161">
        <f t="shared" si="72"/>
        <v>4.725E-3</v>
      </c>
    </row>
    <row r="187" spans="1:23" s="81" customFormat="1">
      <c r="A187" s="165"/>
      <c r="B187" s="148"/>
      <c r="C187" s="52"/>
      <c r="D187" s="52"/>
      <c r="E187" s="148"/>
      <c r="F187" s="52"/>
      <c r="G187" s="52"/>
      <c r="H187" s="148"/>
      <c r="I187" s="52"/>
      <c r="J187" s="52"/>
      <c r="K187" s="148"/>
      <c r="L187" s="52"/>
      <c r="M187" s="52"/>
      <c r="N187" s="148"/>
      <c r="O187" s="52"/>
      <c r="P187" s="52"/>
      <c r="Q187" s="148"/>
      <c r="R187" s="52"/>
      <c r="S187" s="52"/>
      <c r="T187" s="148"/>
      <c r="U187" s="148"/>
      <c r="V187" s="288"/>
      <c r="W187" s="161"/>
    </row>
    <row r="188" spans="1:23">
      <c r="A188" s="10" t="s">
        <v>597</v>
      </c>
      <c r="B188" s="148"/>
      <c r="C188" s="148"/>
      <c r="D188" s="148"/>
      <c r="E188" s="148"/>
      <c r="F188" s="148"/>
      <c r="G188" s="148"/>
      <c r="H188" s="148"/>
      <c r="I188" s="148"/>
      <c r="J188" s="148"/>
      <c r="K188" s="148"/>
      <c r="L188" s="148"/>
      <c r="M188" s="148"/>
      <c r="N188" s="148"/>
      <c r="O188" s="148"/>
      <c r="P188" s="148"/>
      <c r="Q188" s="148"/>
      <c r="R188" s="148"/>
      <c r="S188" s="148"/>
      <c r="T188" s="148"/>
      <c r="U188" s="148"/>
      <c r="V188" s="293"/>
      <c r="W188" s="161"/>
    </row>
    <row r="189" spans="1:23">
      <c r="A189" s="100" t="s">
        <v>659</v>
      </c>
      <c r="B189" s="148"/>
      <c r="C189" s="148"/>
      <c r="D189" s="148"/>
      <c r="E189" s="148"/>
      <c r="F189" s="148"/>
      <c r="G189" s="148"/>
      <c r="H189" s="148"/>
      <c r="I189" s="148"/>
      <c r="J189" s="148"/>
      <c r="K189" s="148"/>
      <c r="L189" s="148"/>
      <c r="M189" s="148"/>
      <c r="N189" s="148"/>
      <c r="O189" s="148"/>
      <c r="P189" s="148"/>
      <c r="Q189" s="148"/>
      <c r="R189" s="148"/>
      <c r="S189" s="148"/>
      <c r="T189" s="148"/>
      <c r="U189" s="148"/>
      <c r="V189" s="293"/>
      <c r="W189" s="161"/>
    </row>
    <row r="190" spans="1:23">
      <c r="A190" s="100"/>
      <c r="B190" s="148"/>
      <c r="C190" s="148"/>
      <c r="D190" s="148"/>
      <c r="E190" s="148"/>
      <c r="F190" s="148"/>
      <c r="G190" s="148"/>
      <c r="H190" s="148"/>
      <c r="I190" s="148"/>
      <c r="J190" s="148"/>
      <c r="K190" s="148"/>
      <c r="L190" s="148"/>
      <c r="M190" s="148"/>
      <c r="N190" s="148"/>
      <c r="O190" s="148"/>
      <c r="P190" s="148"/>
      <c r="Q190" s="148"/>
      <c r="R190" s="148"/>
      <c r="S190" s="148"/>
      <c r="T190" s="148"/>
      <c r="U190" s="148"/>
      <c r="V190" s="293"/>
      <c r="W190" s="161"/>
    </row>
    <row r="191" spans="1:23" s="100" customFormat="1">
      <c r="A191" s="10" t="s">
        <v>1158</v>
      </c>
      <c r="V191" s="179"/>
      <c r="W191" s="132"/>
    </row>
    <row r="192" spans="1:23" s="100" customFormat="1">
      <c r="A192" s="206" t="s">
        <v>1155</v>
      </c>
      <c r="B192" s="52">
        <f>'Scenario 2 Assumptions'!$B$6*('Scenario 2 Assumptions'!$D134)</f>
        <v>0</v>
      </c>
      <c r="C192" s="52">
        <f>'Scenario 2 Assumptions'!$B$6*('Scenario 2 Assumptions'!$D134)</f>
        <v>0</v>
      </c>
      <c r="D192" s="52">
        <f>'Scenario 2 Assumptions'!$B$6*('Scenario 2 Assumptions'!$D134)</f>
        <v>0</v>
      </c>
      <c r="E192" s="52">
        <f>'Scenario 2 Assumptions'!$B$6*('Scenario 2 Assumptions'!$D134)</f>
        <v>0</v>
      </c>
      <c r="F192" s="52">
        <f>'Scenario 2 Assumptions'!$B$6*('Scenario 2 Assumptions'!$D134)</f>
        <v>0</v>
      </c>
      <c r="G192" s="52">
        <f>'Scenario 2 Assumptions'!$B$6*('Scenario 2 Assumptions'!$D134)</f>
        <v>0</v>
      </c>
      <c r="H192" s="52">
        <f>'Scenario 2 Assumptions'!$B$6*('Scenario 2 Assumptions'!$D134)</f>
        <v>0</v>
      </c>
      <c r="I192" s="52">
        <f>'Scenario 2 Assumptions'!$B$6*('Scenario 2 Assumptions'!$D134)</f>
        <v>0</v>
      </c>
      <c r="J192" s="52">
        <f>'Scenario 2 Assumptions'!$B$6*('Scenario 2 Assumptions'!$D134)</f>
        <v>0</v>
      </c>
      <c r="K192" s="52">
        <f>'Scenario 2 Assumptions'!$B$6*('Scenario 2 Assumptions'!$D134)</f>
        <v>0</v>
      </c>
      <c r="L192" s="52">
        <f>'Scenario 2 Assumptions'!$B$6*('Scenario 2 Assumptions'!$D134)</f>
        <v>0</v>
      </c>
      <c r="M192" s="52">
        <f>'Scenario 2 Assumptions'!$B$6*('Scenario 2 Assumptions'!$D134)</f>
        <v>0</v>
      </c>
      <c r="N192" s="52">
        <f>'Scenario 2 Assumptions'!$B$6*('Scenario 2 Assumptions'!$D134)</f>
        <v>0</v>
      </c>
      <c r="O192" s="52">
        <f>'Scenario 2 Assumptions'!$B$6*('Scenario 2 Assumptions'!$D134)</f>
        <v>0</v>
      </c>
      <c r="P192" s="52">
        <f>'Scenario 2 Assumptions'!$B$6*('Scenario 2 Assumptions'!$D134)</f>
        <v>0</v>
      </c>
      <c r="Q192" s="52">
        <f>'Scenario 2 Assumptions'!$B$6*('Scenario 2 Assumptions'!$D134)</f>
        <v>0</v>
      </c>
      <c r="R192" s="52">
        <f>'Scenario 2 Assumptions'!$B$6*('Scenario 2 Assumptions'!$D134)</f>
        <v>0</v>
      </c>
      <c r="S192" s="52">
        <f>'Scenario 2 Assumptions'!$B$6*('Scenario 2 Assumptions'!$D134)</f>
        <v>0</v>
      </c>
      <c r="T192" s="52">
        <f>'Scenario 2 Assumptions'!$B$6*('Scenario 2 Assumptions'!$D134)</f>
        <v>0</v>
      </c>
      <c r="U192" s="52">
        <f>'Scenario 2 Assumptions'!$B$6*('Scenario 2 Assumptions'!$D134)</f>
        <v>0</v>
      </c>
      <c r="V192" s="180">
        <f t="shared" ref="V192:V193" si="73">SUM(B192:U192)</f>
        <v>0</v>
      </c>
      <c r="W192" s="166">
        <f t="shared" ref="W192:W211" si="74">V192/20</f>
        <v>0</v>
      </c>
    </row>
    <row r="193" spans="1:23" s="100" customFormat="1">
      <c r="A193" s="206" t="s">
        <v>1126</v>
      </c>
      <c r="B193" s="52">
        <f>'Scenario 2 Assumptions'!$B$6*('Scenario 2 Assumptions'!$D136)</f>
        <v>1.3500000000000001E-3</v>
      </c>
      <c r="C193" s="52">
        <f>'Scenario 2 Assumptions'!$B$6*('Scenario 2 Assumptions'!$D136)</f>
        <v>1.3500000000000001E-3</v>
      </c>
      <c r="D193" s="52">
        <f>'Scenario 2 Assumptions'!$B$6*('Scenario 2 Assumptions'!$D136)</f>
        <v>1.3500000000000001E-3</v>
      </c>
      <c r="E193" s="52">
        <f>'Scenario 2 Assumptions'!$B$6*('Scenario 2 Assumptions'!$D136)</f>
        <v>1.3500000000000001E-3</v>
      </c>
      <c r="F193" s="52">
        <f>'Scenario 2 Assumptions'!$B$6*('Scenario 2 Assumptions'!$D136)</f>
        <v>1.3500000000000001E-3</v>
      </c>
      <c r="G193" s="52">
        <f>'Scenario 2 Assumptions'!$B$6*('Scenario 2 Assumptions'!$D136)</f>
        <v>1.3500000000000001E-3</v>
      </c>
      <c r="H193" s="52">
        <f>'Scenario 2 Assumptions'!$B$6*('Scenario 2 Assumptions'!$D136)</f>
        <v>1.3500000000000001E-3</v>
      </c>
      <c r="I193" s="52">
        <f>'Scenario 2 Assumptions'!$B$6*('Scenario 2 Assumptions'!$D136)</f>
        <v>1.3500000000000001E-3</v>
      </c>
      <c r="J193" s="52">
        <f>'Scenario 2 Assumptions'!$B$6*('Scenario 2 Assumptions'!$D136)</f>
        <v>1.3500000000000001E-3</v>
      </c>
      <c r="K193" s="52">
        <f>'Scenario 2 Assumptions'!$B$6*('Scenario 2 Assumptions'!$D136)</f>
        <v>1.3500000000000001E-3</v>
      </c>
      <c r="L193" s="52">
        <f>'Scenario 2 Assumptions'!$B$6*('Scenario 2 Assumptions'!$D136)</f>
        <v>1.3500000000000001E-3</v>
      </c>
      <c r="M193" s="52">
        <f>'Scenario 2 Assumptions'!$B$6*('Scenario 2 Assumptions'!$D136)</f>
        <v>1.3500000000000001E-3</v>
      </c>
      <c r="N193" s="52">
        <f>'Scenario 2 Assumptions'!$B$6*('Scenario 2 Assumptions'!$D136)</f>
        <v>1.3500000000000001E-3</v>
      </c>
      <c r="O193" s="52">
        <f>'Scenario 2 Assumptions'!$B$6*('Scenario 2 Assumptions'!$D136)</f>
        <v>1.3500000000000001E-3</v>
      </c>
      <c r="P193" s="52">
        <f>'Scenario 2 Assumptions'!$B$6*('Scenario 2 Assumptions'!$D136)</f>
        <v>1.3500000000000001E-3</v>
      </c>
      <c r="Q193" s="52">
        <f>'Scenario 2 Assumptions'!$B$6*('Scenario 2 Assumptions'!$D136)</f>
        <v>1.3500000000000001E-3</v>
      </c>
      <c r="R193" s="52">
        <f>'Scenario 2 Assumptions'!$B$6*('Scenario 2 Assumptions'!$D136)</f>
        <v>1.3500000000000001E-3</v>
      </c>
      <c r="S193" s="52">
        <f>'Scenario 2 Assumptions'!$B$6*('Scenario 2 Assumptions'!$D136)</f>
        <v>1.3500000000000001E-3</v>
      </c>
      <c r="T193" s="52">
        <f>'Scenario 2 Assumptions'!$B$6*('Scenario 2 Assumptions'!$D136)</f>
        <v>1.3500000000000001E-3</v>
      </c>
      <c r="U193" s="52">
        <f>'Scenario 2 Assumptions'!$B$6*('Scenario 2 Assumptions'!$D136)</f>
        <v>1.3500000000000001E-3</v>
      </c>
      <c r="V193" s="180">
        <f t="shared" si="73"/>
        <v>2.7000000000000007E-2</v>
      </c>
      <c r="W193" s="166">
        <f t="shared" si="74"/>
        <v>1.3500000000000003E-3</v>
      </c>
    </row>
    <row r="194" spans="1:23" s="100" customFormat="1">
      <c r="A194" s="206" t="s">
        <v>1127</v>
      </c>
      <c r="B194" s="52">
        <f>'Scenario 2 Assumptions'!$B$6*('Scenario 2 Assumptions'!$D137+'Scenario 2 Assumptions'!$D138)</f>
        <v>6.7500000000000004E-4</v>
      </c>
      <c r="C194" s="52">
        <f>'Scenario 2 Assumptions'!$B$6*('Scenario 2 Assumptions'!$D137+'Scenario 2 Assumptions'!$D138)</f>
        <v>6.7500000000000004E-4</v>
      </c>
      <c r="D194" s="52">
        <f>'Scenario 2 Assumptions'!$B$6*('Scenario 2 Assumptions'!$D137+'Scenario 2 Assumptions'!$D138)</f>
        <v>6.7500000000000004E-4</v>
      </c>
      <c r="E194" s="52">
        <f>'Scenario 2 Assumptions'!$B$6*('Scenario 2 Assumptions'!$D137+'Scenario 2 Assumptions'!$D138)</f>
        <v>6.7500000000000004E-4</v>
      </c>
      <c r="F194" s="52">
        <f>'Scenario 2 Assumptions'!$B$6*('Scenario 2 Assumptions'!$D137+'Scenario 2 Assumptions'!$D138)</f>
        <v>6.7500000000000004E-4</v>
      </c>
      <c r="G194" s="52">
        <f>'Scenario 2 Assumptions'!$B$6*('Scenario 2 Assumptions'!$D137+'Scenario 2 Assumptions'!$D138)</f>
        <v>6.7500000000000004E-4</v>
      </c>
      <c r="H194" s="52">
        <f>'Scenario 2 Assumptions'!$B$6*('Scenario 2 Assumptions'!$D137+'Scenario 2 Assumptions'!$D138)</f>
        <v>6.7500000000000004E-4</v>
      </c>
      <c r="I194" s="52">
        <f>'Scenario 2 Assumptions'!$B$6*('Scenario 2 Assumptions'!$D137+'Scenario 2 Assumptions'!$D138)</f>
        <v>6.7500000000000004E-4</v>
      </c>
      <c r="J194" s="52">
        <f>'Scenario 2 Assumptions'!$B$6*('Scenario 2 Assumptions'!$D137+'Scenario 2 Assumptions'!$D138)</f>
        <v>6.7500000000000004E-4</v>
      </c>
      <c r="K194" s="52">
        <f>'Scenario 2 Assumptions'!$B$6*('Scenario 2 Assumptions'!$D137+'Scenario 2 Assumptions'!$D138)</f>
        <v>6.7500000000000004E-4</v>
      </c>
      <c r="L194" s="52">
        <f>'Scenario 2 Assumptions'!$B$6*('Scenario 2 Assumptions'!$D137+'Scenario 2 Assumptions'!$D138)</f>
        <v>6.7500000000000004E-4</v>
      </c>
      <c r="M194" s="52">
        <f>'Scenario 2 Assumptions'!$B$6*('Scenario 2 Assumptions'!$D137+'Scenario 2 Assumptions'!$D138)</f>
        <v>6.7500000000000004E-4</v>
      </c>
      <c r="N194" s="52">
        <f>'Scenario 2 Assumptions'!$B$6*('Scenario 2 Assumptions'!$D137+'Scenario 2 Assumptions'!$D138)</f>
        <v>6.7500000000000004E-4</v>
      </c>
      <c r="O194" s="52">
        <f>'Scenario 2 Assumptions'!$B$6*('Scenario 2 Assumptions'!$D137+'Scenario 2 Assumptions'!$D138)</f>
        <v>6.7500000000000004E-4</v>
      </c>
      <c r="P194" s="52">
        <f>'Scenario 2 Assumptions'!$B$6*('Scenario 2 Assumptions'!$D137+'Scenario 2 Assumptions'!$D138)</f>
        <v>6.7500000000000004E-4</v>
      </c>
      <c r="Q194" s="52">
        <f>'Scenario 2 Assumptions'!$B$6*('Scenario 2 Assumptions'!$D137+'Scenario 2 Assumptions'!$D138)</f>
        <v>6.7500000000000004E-4</v>
      </c>
      <c r="R194" s="52">
        <f>'Scenario 2 Assumptions'!$B$6*('Scenario 2 Assumptions'!$D137+'Scenario 2 Assumptions'!$D138)</f>
        <v>6.7500000000000004E-4</v>
      </c>
      <c r="S194" s="52">
        <f>'Scenario 2 Assumptions'!$B$6*('Scenario 2 Assumptions'!$D137+'Scenario 2 Assumptions'!$D138)</f>
        <v>6.7500000000000004E-4</v>
      </c>
      <c r="T194" s="52">
        <f>'Scenario 2 Assumptions'!$B$6*('Scenario 2 Assumptions'!$D137+'Scenario 2 Assumptions'!$D138)</f>
        <v>6.7500000000000004E-4</v>
      </c>
      <c r="U194" s="52">
        <f>'Scenario 2 Assumptions'!$B$6*('Scenario 2 Assumptions'!$D137+'Scenario 2 Assumptions'!$D138)</f>
        <v>6.7500000000000004E-4</v>
      </c>
      <c r="V194" s="180">
        <f t="shared" ref="V194:V201" si="75">SUM(B194:U194)</f>
        <v>1.3500000000000003E-2</v>
      </c>
      <c r="W194" s="166">
        <f t="shared" si="74"/>
        <v>6.7500000000000014E-4</v>
      </c>
    </row>
    <row r="195" spans="1:23" s="100" customFormat="1">
      <c r="A195" s="206" t="s">
        <v>1128</v>
      </c>
      <c r="B195" s="52">
        <f>'Scenario 2 Assumptions'!$B$6*('Scenario 2 Assumptions'!$D139+'Scenario 2 Assumptions'!$D140+'Scenario 2 Assumptions'!$D141)</f>
        <v>3.375E-3</v>
      </c>
      <c r="C195" s="52">
        <f>'Scenario 2 Assumptions'!$B$6*('Scenario 2 Assumptions'!$D139+'Scenario 2 Assumptions'!$D140+'Scenario 2 Assumptions'!$D141)</f>
        <v>3.375E-3</v>
      </c>
      <c r="D195" s="52">
        <f>'Scenario 2 Assumptions'!$B$6*('Scenario 2 Assumptions'!$D139+'Scenario 2 Assumptions'!$D140+'Scenario 2 Assumptions'!$D141)</f>
        <v>3.375E-3</v>
      </c>
      <c r="E195" s="52">
        <f>'Scenario 2 Assumptions'!$B$6*('Scenario 2 Assumptions'!$D139+'Scenario 2 Assumptions'!$D140+'Scenario 2 Assumptions'!$D141)</f>
        <v>3.375E-3</v>
      </c>
      <c r="F195" s="52">
        <f>'Scenario 2 Assumptions'!$B$6*('Scenario 2 Assumptions'!$D139+'Scenario 2 Assumptions'!$D140+'Scenario 2 Assumptions'!$D141)</f>
        <v>3.375E-3</v>
      </c>
      <c r="G195" s="52">
        <f>'Scenario 2 Assumptions'!$B$6*('Scenario 2 Assumptions'!$D139+'Scenario 2 Assumptions'!$D140+'Scenario 2 Assumptions'!$D141)</f>
        <v>3.375E-3</v>
      </c>
      <c r="H195" s="52">
        <f>'Scenario 2 Assumptions'!$B$6*('Scenario 2 Assumptions'!$D139+'Scenario 2 Assumptions'!$D140+'Scenario 2 Assumptions'!$D141)</f>
        <v>3.375E-3</v>
      </c>
      <c r="I195" s="52">
        <f>'Scenario 2 Assumptions'!$B$6*('Scenario 2 Assumptions'!$D139+'Scenario 2 Assumptions'!$D140+'Scenario 2 Assumptions'!$D141)</f>
        <v>3.375E-3</v>
      </c>
      <c r="J195" s="52">
        <f>'Scenario 2 Assumptions'!$B$6*('Scenario 2 Assumptions'!$D139+'Scenario 2 Assumptions'!$D140+'Scenario 2 Assumptions'!$D141)</f>
        <v>3.375E-3</v>
      </c>
      <c r="K195" s="52">
        <f>'Scenario 2 Assumptions'!$B$6*('Scenario 2 Assumptions'!$D139+'Scenario 2 Assumptions'!$D140+'Scenario 2 Assumptions'!$D141)</f>
        <v>3.375E-3</v>
      </c>
      <c r="L195" s="52">
        <f>'Scenario 2 Assumptions'!$B$6*('Scenario 2 Assumptions'!$D139+'Scenario 2 Assumptions'!$D140+'Scenario 2 Assumptions'!$D141)</f>
        <v>3.375E-3</v>
      </c>
      <c r="M195" s="52">
        <f>'Scenario 2 Assumptions'!$B$6*('Scenario 2 Assumptions'!$D139+'Scenario 2 Assumptions'!$D140+'Scenario 2 Assumptions'!$D141)</f>
        <v>3.375E-3</v>
      </c>
      <c r="N195" s="52">
        <f>'Scenario 2 Assumptions'!$B$6*('Scenario 2 Assumptions'!$D139+'Scenario 2 Assumptions'!$D140+'Scenario 2 Assumptions'!$D141)</f>
        <v>3.375E-3</v>
      </c>
      <c r="O195" s="52">
        <f>'Scenario 2 Assumptions'!$B$6*('Scenario 2 Assumptions'!$D139+'Scenario 2 Assumptions'!$D140+'Scenario 2 Assumptions'!$D141)</f>
        <v>3.375E-3</v>
      </c>
      <c r="P195" s="52">
        <f>'Scenario 2 Assumptions'!$B$6*('Scenario 2 Assumptions'!$D139+'Scenario 2 Assumptions'!$D140+'Scenario 2 Assumptions'!$D141)</f>
        <v>3.375E-3</v>
      </c>
      <c r="Q195" s="52">
        <f>'Scenario 2 Assumptions'!$B$6*('Scenario 2 Assumptions'!$D139+'Scenario 2 Assumptions'!$D140+'Scenario 2 Assumptions'!$D141)</f>
        <v>3.375E-3</v>
      </c>
      <c r="R195" s="52">
        <f>'Scenario 2 Assumptions'!$B$6*('Scenario 2 Assumptions'!$D139+'Scenario 2 Assumptions'!$D140+'Scenario 2 Assumptions'!$D141)</f>
        <v>3.375E-3</v>
      </c>
      <c r="S195" s="52">
        <f>'Scenario 2 Assumptions'!$B$6*('Scenario 2 Assumptions'!$D139+'Scenario 2 Assumptions'!$D140+'Scenario 2 Assumptions'!$D141)</f>
        <v>3.375E-3</v>
      </c>
      <c r="T195" s="52">
        <f>'Scenario 2 Assumptions'!$B$6*('Scenario 2 Assumptions'!$D139+'Scenario 2 Assumptions'!$D140+'Scenario 2 Assumptions'!$D141)</f>
        <v>3.375E-3</v>
      </c>
      <c r="U195" s="52">
        <f>'Scenario 2 Assumptions'!$B$6*('Scenario 2 Assumptions'!$D139+'Scenario 2 Assumptions'!$D140+'Scenario 2 Assumptions'!$D141)</f>
        <v>3.375E-3</v>
      </c>
      <c r="V195" s="180">
        <f t="shared" si="75"/>
        <v>6.7500000000000032E-2</v>
      </c>
      <c r="W195" s="166">
        <f t="shared" si="74"/>
        <v>3.3750000000000017E-3</v>
      </c>
    </row>
    <row r="196" spans="1:23" s="100" customFormat="1">
      <c r="A196" s="206" t="s">
        <v>1129</v>
      </c>
      <c r="B196" s="52">
        <f>'Scenario 2 Assumptions'!$B$6*('Scenario 2 Assumptions'!$D142)</f>
        <v>0</v>
      </c>
      <c r="C196" s="52">
        <f>'Scenario 2 Assumptions'!$B$6*('Scenario 2 Assumptions'!$D142)</f>
        <v>0</v>
      </c>
      <c r="D196" s="52">
        <f>'Scenario 2 Assumptions'!$B$6*('Scenario 2 Assumptions'!$D142)</f>
        <v>0</v>
      </c>
      <c r="E196" s="52">
        <f>'Scenario 2 Assumptions'!$B$6*('Scenario 2 Assumptions'!$D142)</f>
        <v>0</v>
      </c>
      <c r="F196" s="52">
        <f>'Scenario 2 Assumptions'!$B$6*('Scenario 2 Assumptions'!$D142)</f>
        <v>0</v>
      </c>
      <c r="G196" s="52">
        <f>'Scenario 2 Assumptions'!$B$6*('Scenario 2 Assumptions'!$D142)</f>
        <v>0</v>
      </c>
      <c r="H196" s="52">
        <f>'Scenario 2 Assumptions'!$B$6*('Scenario 2 Assumptions'!$D142)</f>
        <v>0</v>
      </c>
      <c r="I196" s="52">
        <f>'Scenario 2 Assumptions'!$B$6*('Scenario 2 Assumptions'!$D142)</f>
        <v>0</v>
      </c>
      <c r="J196" s="52">
        <f>'Scenario 2 Assumptions'!$B$6*('Scenario 2 Assumptions'!$D142)</f>
        <v>0</v>
      </c>
      <c r="K196" s="52">
        <f>'Scenario 2 Assumptions'!$B$6*('Scenario 2 Assumptions'!$D142)</f>
        <v>0</v>
      </c>
      <c r="L196" s="52">
        <f>'Scenario 2 Assumptions'!$B$6*('Scenario 2 Assumptions'!$D142)</f>
        <v>0</v>
      </c>
      <c r="M196" s="52">
        <f>'Scenario 2 Assumptions'!$B$6*('Scenario 2 Assumptions'!$D142)</f>
        <v>0</v>
      </c>
      <c r="N196" s="52">
        <f>'Scenario 2 Assumptions'!$B$6*('Scenario 2 Assumptions'!$D142)</f>
        <v>0</v>
      </c>
      <c r="O196" s="52">
        <f>'Scenario 2 Assumptions'!$B$6*('Scenario 2 Assumptions'!$D142)</f>
        <v>0</v>
      </c>
      <c r="P196" s="52">
        <f>'Scenario 2 Assumptions'!$B$6*('Scenario 2 Assumptions'!$D142)</f>
        <v>0</v>
      </c>
      <c r="Q196" s="52">
        <f>'Scenario 2 Assumptions'!$B$6*('Scenario 2 Assumptions'!$D142)</f>
        <v>0</v>
      </c>
      <c r="R196" s="52">
        <f>'Scenario 2 Assumptions'!$B$6*('Scenario 2 Assumptions'!$D142)</f>
        <v>0</v>
      </c>
      <c r="S196" s="52">
        <f>'Scenario 2 Assumptions'!$B$6*('Scenario 2 Assumptions'!$D142)</f>
        <v>0</v>
      </c>
      <c r="T196" s="52">
        <f>'Scenario 2 Assumptions'!$B$6*('Scenario 2 Assumptions'!$D142)</f>
        <v>0</v>
      </c>
      <c r="U196" s="52">
        <f>'Scenario 2 Assumptions'!$B$6*('Scenario 2 Assumptions'!$D142)</f>
        <v>0</v>
      </c>
      <c r="V196" s="180">
        <f t="shared" si="75"/>
        <v>0</v>
      </c>
      <c r="W196" s="166">
        <f t="shared" si="74"/>
        <v>0</v>
      </c>
    </row>
    <row r="197" spans="1:23" s="100" customFormat="1">
      <c r="A197" s="206" t="s">
        <v>1156</v>
      </c>
      <c r="B197" s="52">
        <f>'Scenario 2 Assumptions'!$B$6*('Scenario 2 Assumptions'!$D143+'Scenario 2 Assumptions'!$D144+'Scenario 2 Assumptions'!$D145+'Scenario 2 Assumptions'!$D146+'Scenario 2 Assumptions'!$D147+'Scenario 2 Assumptions'!$D148+'Scenario 2 Assumptions'!$D149)</f>
        <v>1.0800000000000001E-2</v>
      </c>
      <c r="C197" s="52">
        <f>'Scenario 2 Assumptions'!$B$6*('Scenario 2 Assumptions'!$D143+'Scenario 2 Assumptions'!$D144+'Scenario 2 Assumptions'!$D145+'Scenario 2 Assumptions'!$D146+'Scenario 2 Assumptions'!$D147+'Scenario 2 Assumptions'!$D148+'Scenario 2 Assumptions'!$D149)</f>
        <v>1.0800000000000001E-2</v>
      </c>
      <c r="D197" s="52">
        <f>'Scenario 2 Assumptions'!$B$6*('Scenario 2 Assumptions'!$D143+'Scenario 2 Assumptions'!$D144+'Scenario 2 Assumptions'!$D145+'Scenario 2 Assumptions'!$D146+'Scenario 2 Assumptions'!$D147+'Scenario 2 Assumptions'!$D148+'Scenario 2 Assumptions'!$D149)</f>
        <v>1.0800000000000001E-2</v>
      </c>
      <c r="E197" s="52">
        <f>'Scenario 2 Assumptions'!$B$6*('Scenario 2 Assumptions'!$D143+'Scenario 2 Assumptions'!$D144+'Scenario 2 Assumptions'!$D145+'Scenario 2 Assumptions'!$D146+'Scenario 2 Assumptions'!$D147+'Scenario 2 Assumptions'!$D148+'Scenario 2 Assumptions'!$D149)</f>
        <v>1.0800000000000001E-2</v>
      </c>
      <c r="F197" s="52">
        <f>'Scenario 2 Assumptions'!$B$6*('Scenario 2 Assumptions'!$D143+'Scenario 2 Assumptions'!$D144+'Scenario 2 Assumptions'!$D145+'Scenario 2 Assumptions'!$D146+'Scenario 2 Assumptions'!$D147+'Scenario 2 Assumptions'!$D148+'Scenario 2 Assumptions'!$D149)</f>
        <v>1.0800000000000001E-2</v>
      </c>
      <c r="G197" s="52">
        <f>'Scenario 2 Assumptions'!$B$6*('Scenario 2 Assumptions'!$D143+'Scenario 2 Assumptions'!$D144+'Scenario 2 Assumptions'!$D145+'Scenario 2 Assumptions'!$D146+'Scenario 2 Assumptions'!$D147+'Scenario 2 Assumptions'!$D148+'Scenario 2 Assumptions'!$D149)</f>
        <v>1.0800000000000001E-2</v>
      </c>
      <c r="H197" s="52">
        <f>'Scenario 2 Assumptions'!$B$6*('Scenario 2 Assumptions'!$D143+'Scenario 2 Assumptions'!$D144+'Scenario 2 Assumptions'!$D145+'Scenario 2 Assumptions'!$D146+'Scenario 2 Assumptions'!$D147+'Scenario 2 Assumptions'!$D148+'Scenario 2 Assumptions'!$D149)</f>
        <v>1.0800000000000001E-2</v>
      </c>
      <c r="I197" s="52">
        <f>'Scenario 2 Assumptions'!$B$6*('Scenario 2 Assumptions'!$D143+'Scenario 2 Assumptions'!$D144+'Scenario 2 Assumptions'!$D145+'Scenario 2 Assumptions'!$D146+'Scenario 2 Assumptions'!$D147+'Scenario 2 Assumptions'!$D148+'Scenario 2 Assumptions'!$D149)</f>
        <v>1.0800000000000001E-2</v>
      </c>
      <c r="J197" s="52">
        <f>'Scenario 2 Assumptions'!$B$6*('Scenario 2 Assumptions'!$D143+'Scenario 2 Assumptions'!$D144+'Scenario 2 Assumptions'!$D145+'Scenario 2 Assumptions'!$D146+'Scenario 2 Assumptions'!$D147+'Scenario 2 Assumptions'!$D148+'Scenario 2 Assumptions'!$D149)</f>
        <v>1.0800000000000001E-2</v>
      </c>
      <c r="K197" s="52">
        <f>'Scenario 2 Assumptions'!$B$6*('Scenario 2 Assumptions'!$D143+'Scenario 2 Assumptions'!$D144+'Scenario 2 Assumptions'!$D145+'Scenario 2 Assumptions'!$D146+'Scenario 2 Assumptions'!$D147+'Scenario 2 Assumptions'!$D148+'Scenario 2 Assumptions'!$D149)</f>
        <v>1.0800000000000001E-2</v>
      </c>
      <c r="L197" s="52">
        <f>'Scenario 2 Assumptions'!$B$6*('Scenario 2 Assumptions'!$D143+'Scenario 2 Assumptions'!$D144+'Scenario 2 Assumptions'!$D145+'Scenario 2 Assumptions'!$D146+'Scenario 2 Assumptions'!$D147+'Scenario 2 Assumptions'!$D148+'Scenario 2 Assumptions'!$D149)</f>
        <v>1.0800000000000001E-2</v>
      </c>
      <c r="M197" s="52">
        <f>'Scenario 2 Assumptions'!$B$6*('Scenario 2 Assumptions'!$D143+'Scenario 2 Assumptions'!$D144+'Scenario 2 Assumptions'!$D145+'Scenario 2 Assumptions'!$D146+'Scenario 2 Assumptions'!$D147+'Scenario 2 Assumptions'!$D148+'Scenario 2 Assumptions'!$D149)</f>
        <v>1.0800000000000001E-2</v>
      </c>
      <c r="N197" s="52">
        <f>'Scenario 2 Assumptions'!$B$6*('Scenario 2 Assumptions'!$D143+'Scenario 2 Assumptions'!$D144+'Scenario 2 Assumptions'!$D145+'Scenario 2 Assumptions'!$D146+'Scenario 2 Assumptions'!$D147+'Scenario 2 Assumptions'!$D148+'Scenario 2 Assumptions'!$D149)</f>
        <v>1.0800000000000001E-2</v>
      </c>
      <c r="O197" s="52">
        <f>'Scenario 2 Assumptions'!$B$6*('Scenario 2 Assumptions'!$D143+'Scenario 2 Assumptions'!$D144+'Scenario 2 Assumptions'!$D145+'Scenario 2 Assumptions'!$D146+'Scenario 2 Assumptions'!$D147+'Scenario 2 Assumptions'!$D148+'Scenario 2 Assumptions'!$D149)</f>
        <v>1.0800000000000001E-2</v>
      </c>
      <c r="P197" s="52">
        <f>'Scenario 2 Assumptions'!$B$6*('Scenario 2 Assumptions'!$D143+'Scenario 2 Assumptions'!$D144+'Scenario 2 Assumptions'!$D145+'Scenario 2 Assumptions'!$D146+'Scenario 2 Assumptions'!$D147+'Scenario 2 Assumptions'!$D148+'Scenario 2 Assumptions'!$D149)</f>
        <v>1.0800000000000001E-2</v>
      </c>
      <c r="Q197" s="52">
        <f>'Scenario 2 Assumptions'!$B$6*('Scenario 2 Assumptions'!$D143+'Scenario 2 Assumptions'!$D144+'Scenario 2 Assumptions'!$D145+'Scenario 2 Assumptions'!$D146+'Scenario 2 Assumptions'!$D147+'Scenario 2 Assumptions'!$D148+'Scenario 2 Assumptions'!$D149)</f>
        <v>1.0800000000000001E-2</v>
      </c>
      <c r="R197" s="52">
        <f>'Scenario 2 Assumptions'!$B$6*('Scenario 2 Assumptions'!$D143+'Scenario 2 Assumptions'!$D144+'Scenario 2 Assumptions'!$D145+'Scenario 2 Assumptions'!$D146+'Scenario 2 Assumptions'!$D147+'Scenario 2 Assumptions'!$D148+'Scenario 2 Assumptions'!$D149)</f>
        <v>1.0800000000000001E-2</v>
      </c>
      <c r="S197" s="52">
        <f>'Scenario 2 Assumptions'!$B$6*('Scenario 2 Assumptions'!$D143+'Scenario 2 Assumptions'!$D144+'Scenario 2 Assumptions'!$D145+'Scenario 2 Assumptions'!$D146+'Scenario 2 Assumptions'!$D147+'Scenario 2 Assumptions'!$D148+'Scenario 2 Assumptions'!$D149)</f>
        <v>1.0800000000000001E-2</v>
      </c>
      <c r="T197" s="52">
        <f>'Scenario 2 Assumptions'!$B$6*('Scenario 2 Assumptions'!$D143+'Scenario 2 Assumptions'!$D144+'Scenario 2 Assumptions'!$D145+'Scenario 2 Assumptions'!$D146+'Scenario 2 Assumptions'!$D147+'Scenario 2 Assumptions'!$D148+'Scenario 2 Assumptions'!$D149)</f>
        <v>1.0800000000000001E-2</v>
      </c>
      <c r="U197" s="52">
        <f>'Scenario 2 Assumptions'!$B$6*('Scenario 2 Assumptions'!$D143+'Scenario 2 Assumptions'!$D144+'Scenario 2 Assumptions'!$D145+'Scenario 2 Assumptions'!$D146+'Scenario 2 Assumptions'!$D147+'Scenario 2 Assumptions'!$D148+'Scenario 2 Assumptions'!$D149)</f>
        <v>1.0800000000000001E-2</v>
      </c>
      <c r="V197" s="180">
        <f t="shared" si="75"/>
        <v>0.21600000000000005</v>
      </c>
      <c r="W197" s="166">
        <f t="shared" si="74"/>
        <v>1.0800000000000002E-2</v>
      </c>
    </row>
    <row r="198" spans="1:23" s="99" customFormat="1">
      <c r="A198" s="206" t="s">
        <v>981</v>
      </c>
      <c r="B198" s="52">
        <f>'Scenario 2 Assumptions'!$B$6*('Scenario 2 Assumptions'!$D150+'Scenario 2 Assumptions'!$D151)</f>
        <v>0</v>
      </c>
      <c r="C198" s="52">
        <f>'Scenario 2 Assumptions'!$B$6*('Scenario 2 Assumptions'!$D150+'Scenario 2 Assumptions'!$D151)</f>
        <v>0</v>
      </c>
      <c r="D198" s="52">
        <f>'Scenario 2 Assumptions'!$B$6*('Scenario 2 Assumptions'!$D150+'Scenario 2 Assumptions'!$D151)</f>
        <v>0</v>
      </c>
      <c r="E198" s="52">
        <f>'Scenario 2 Assumptions'!$B$6*('Scenario 2 Assumptions'!$D150+'Scenario 2 Assumptions'!$D151)</f>
        <v>0</v>
      </c>
      <c r="F198" s="52">
        <f>'Scenario 2 Assumptions'!$B$6*('Scenario 2 Assumptions'!$D150+'Scenario 2 Assumptions'!$D151)</f>
        <v>0</v>
      </c>
      <c r="G198" s="52">
        <f>'Scenario 2 Assumptions'!$B$6*('Scenario 2 Assumptions'!$D150+'Scenario 2 Assumptions'!$D151)</f>
        <v>0</v>
      </c>
      <c r="H198" s="52">
        <f>'Scenario 2 Assumptions'!$B$6*('Scenario 2 Assumptions'!$D150+'Scenario 2 Assumptions'!$D151)</f>
        <v>0</v>
      </c>
      <c r="I198" s="52">
        <f>'Scenario 2 Assumptions'!$B$6*('Scenario 2 Assumptions'!$D150+'Scenario 2 Assumptions'!$D151)</f>
        <v>0</v>
      </c>
      <c r="J198" s="52">
        <f>'Scenario 2 Assumptions'!$B$6*('Scenario 2 Assumptions'!$D150+'Scenario 2 Assumptions'!$D151)</f>
        <v>0</v>
      </c>
      <c r="K198" s="52">
        <f>'Scenario 2 Assumptions'!$B$6*('Scenario 2 Assumptions'!$D150+'Scenario 2 Assumptions'!$D151)</f>
        <v>0</v>
      </c>
      <c r="L198" s="52">
        <f>'Scenario 2 Assumptions'!$B$6*('Scenario 2 Assumptions'!$D150+'Scenario 2 Assumptions'!$D151)</f>
        <v>0</v>
      </c>
      <c r="M198" s="52">
        <f>'Scenario 2 Assumptions'!$B$6*('Scenario 2 Assumptions'!$D150+'Scenario 2 Assumptions'!$D151)</f>
        <v>0</v>
      </c>
      <c r="N198" s="52">
        <f>'Scenario 2 Assumptions'!$B$6*('Scenario 2 Assumptions'!$D150+'Scenario 2 Assumptions'!$D151)</f>
        <v>0</v>
      </c>
      <c r="O198" s="52">
        <f>'Scenario 2 Assumptions'!$B$6*('Scenario 2 Assumptions'!$D150+'Scenario 2 Assumptions'!$D151)</f>
        <v>0</v>
      </c>
      <c r="P198" s="52">
        <f>'Scenario 2 Assumptions'!$B$6*('Scenario 2 Assumptions'!$D150+'Scenario 2 Assumptions'!$D151)</f>
        <v>0</v>
      </c>
      <c r="Q198" s="52">
        <f>'Scenario 2 Assumptions'!$B$6*('Scenario 2 Assumptions'!$D150+'Scenario 2 Assumptions'!$D151)</f>
        <v>0</v>
      </c>
      <c r="R198" s="52">
        <f>'Scenario 2 Assumptions'!$B$6*('Scenario 2 Assumptions'!$D150+'Scenario 2 Assumptions'!$D151)</f>
        <v>0</v>
      </c>
      <c r="S198" s="52">
        <f>'Scenario 2 Assumptions'!$B$6*('Scenario 2 Assumptions'!$D150+'Scenario 2 Assumptions'!$D151)</f>
        <v>0</v>
      </c>
      <c r="T198" s="52">
        <f>'Scenario 2 Assumptions'!$B$6*('Scenario 2 Assumptions'!$D150+'Scenario 2 Assumptions'!$D151)</f>
        <v>0</v>
      </c>
      <c r="U198" s="52">
        <f>'Scenario 2 Assumptions'!$B$6*('Scenario 2 Assumptions'!$D150+'Scenario 2 Assumptions'!$D151)</f>
        <v>0</v>
      </c>
      <c r="V198" s="180">
        <f t="shared" si="75"/>
        <v>0</v>
      </c>
      <c r="W198" s="166">
        <f t="shared" si="74"/>
        <v>0</v>
      </c>
    </row>
    <row r="199" spans="1:23">
      <c r="A199" s="28"/>
      <c r="B199" s="52"/>
      <c r="C199" s="52"/>
      <c r="D199" s="52"/>
      <c r="E199" s="52"/>
      <c r="F199" s="52"/>
      <c r="G199" s="52"/>
      <c r="H199" s="52"/>
      <c r="I199" s="52"/>
      <c r="J199" s="52"/>
      <c r="K199" s="52"/>
      <c r="L199" s="52"/>
      <c r="M199" s="52"/>
      <c r="N199" s="52"/>
      <c r="O199" s="52"/>
      <c r="P199" s="52"/>
      <c r="Q199" s="52"/>
      <c r="R199" s="52"/>
      <c r="S199" s="52"/>
      <c r="T199" s="52"/>
      <c r="U199" s="52"/>
      <c r="V199" s="288"/>
      <c r="W199" s="161"/>
    </row>
    <row r="200" spans="1:23">
      <c r="A200" s="10" t="s">
        <v>1157</v>
      </c>
      <c r="B200" s="52"/>
      <c r="C200" s="52"/>
      <c r="D200" s="52"/>
      <c r="E200" s="52"/>
      <c r="F200" s="52"/>
      <c r="G200" s="52"/>
      <c r="H200" s="52"/>
      <c r="I200" s="52"/>
      <c r="J200" s="52"/>
      <c r="K200" s="52"/>
      <c r="L200" s="52"/>
      <c r="M200" s="52"/>
      <c r="N200" s="52"/>
      <c r="O200" s="52"/>
      <c r="P200" s="52"/>
      <c r="Q200" s="52"/>
      <c r="R200" s="52"/>
      <c r="S200" s="52"/>
      <c r="T200" s="52"/>
      <c r="U200" s="52"/>
      <c r="V200" s="288"/>
      <c r="W200" s="161"/>
    </row>
    <row r="201" spans="1:23" ht="38.25">
      <c r="A201" s="192" t="s">
        <v>707</v>
      </c>
      <c r="B201" s="52">
        <f>'Scenario 2 Assumptions'!$C$283*'Scenario 2 Assumptions'!$B$279</f>
        <v>0</v>
      </c>
      <c r="C201" s="52">
        <f>'Scenario 2 Assumptions'!$C$283*'Scenario 2 Assumptions'!$B$279</f>
        <v>0</v>
      </c>
      <c r="D201" s="52">
        <f>'Scenario 2 Assumptions'!$C$283*'Scenario 2 Assumptions'!$B$279</f>
        <v>0</v>
      </c>
      <c r="E201" s="52">
        <f>'Scenario 2 Assumptions'!$C$283*'Scenario 2 Assumptions'!$B$279</f>
        <v>0</v>
      </c>
      <c r="F201" s="52">
        <f>'Scenario 2 Assumptions'!$C$283*'Scenario 2 Assumptions'!$B$279</f>
        <v>0</v>
      </c>
      <c r="G201" s="52">
        <f>'Scenario 2 Assumptions'!$C$283*'Scenario 2 Assumptions'!$B$279</f>
        <v>0</v>
      </c>
      <c r="H201" s="52">
        <f>'Scenario 2 Assumptions'!$C$283*'Scenario 2 Assumptions'!$B$279</f>
        <v>0</v>
      </c>
      <c r="I201" s="52">
        <f>'Scenario 2 Assumptions'!$C$283*'Scenario 2 Assumptions'!$B$279</f>
        <v>0</v>
      </c>
      <c r="J201" s="52">
        <f>'Scenario 2 Assumptions'!$C$283*'Scenario 2 Assumptions'!$B$279</f>
        <v>0</v>
      </c>
      <c r="K201" s="52">
        <f>'Scenario 2 Assumptions'!$C$283*'Scenario 2 Assumptions'!$B$279</f>
        <v>0</v>
      </c>
      <c r="L201" s="52">
        <f>'Scenario 2 Assumptions'!$C$283*'Scenario 2 Assumptions'!$B$279</f>
        <v>0</v>
      </c>
      <c r="M201" s="52">
        <f>'Scenario 2 Assumptions'!$C$283*'Scenario 2 Assumptions'!$B$279</f>
        <v>0</v>
      </c>
      <c r="N201" s="52">
        <f>'Scenario 2 Assumptions'!$C$283*'Scenario 2 Assumptions'!$B$279</f>
        <v>0</v>
      </c>
      <c r="O201" s="52">
        <f>'Scenario 2 Assumptions'!$C$283*'Scenario 2 Assumptions'!$B$279</f>
        <v>0</v>
      </c>
      <c r="P201" s="52">
        <f>'Scenario 2 Assumptions'!$C$283*'Scenario 2 Assumptions'!$B$279</f>
        <v>0</v>
      </c>
      <c r="Q201" s="52">
        <f>'Scenario 2 Assumptions'!$C$283*'Scenario 2 Assumptions'!$B$279</f>
        <v>0</v>
      </c>
      <c r="R201" s="52">
        <f>'Scenario 2 Assumptions'!$C$283*'Scenario 2 Assumptions'!$B$279</f>
        <v>0</v>
      </c>
      <c r="S201" s="52">
        <f>'Scenario 2 Assumptions'!$C$283*'Scenario 2 Assumptions'!$B$279</f>
        <v>0</v>
      </c>
      <c r="T201" s="52">
        <f>'Scenario 2 Assumptions'!$C$283*'Scenario 2 Assumptions'!$B$279</f>
        <v>0</v>
      </c>
      <c r="U201" s="52">
        <f>'Scenario 2 Assumptions'!$C$283*'Scenario 2 Assumptions'!$B$279</f>
        <v>0</v>
      </c>
      <c r="V201" s="288">
        <f t="shared" si="75"/>
        <v>0</v>
      </c>
      <c r="W201" s="161">
        <f t="shared" si="74"/>
        <v>0</v>
      </c>
    </row>
    <row r="202" spans="1:23">
      <c r="A202" s="192"/>
      <c r="B202" s="52"/>
      <c r="C202" s="52"/>
      <c r="D202" s="52"/>
      <c r="E202" s="52"/>
      <c r="F202" s="52"/>
      <c r="G202" s="52"/>
      <c r="H202" s="52"/>
      <c r="I202" s="52"/>
      <c r="J202" s="52"/>
      <c r="K202" s="52"/>
      <c r="L202" s="52"/>
      <c r="M202" s="52"/>
      <c r="N202" s="52"/>
      <c r="O202" s="52"/>
      <c r="P202" s="52"/>
      <c r="Q202" s="52"/>
      <c r="R202" s="52"/>
      <c r="S202" s="52"/>
      <c r="T202" s="52"/>
      <c r="U202" s="52"/>
      <c r="V202" s="288"/>
      <c r="W202" s="161"/>
    </row>
    <row r="203" spans="1:23" s="100" customFormat="1">
      <c r="A203" s="197" t="s">
        <v>18</v>
      </c>
      <c r="V203" s="179"/>
      <c r="W203" s="132"/>
    </row>
    <row r="204" spans="1:23" ht="12" customHeight="1">
      <c r="A204" s="10" t="s">
        <v>1159</v>
      </c>
      <c r="B204" s="52"/>
      <c r="C204" s="52"/>
      <c r="D204" s="52"/>
      <c r="E204" s="52"/>
      <c r="F204" s="52"/>
      <c r="G204" s="52"/>
      <c r="H204" s="52"/>
      <c r="I204" s="52"/>
      <c r="J204" s="52"/>
      <c r="K204" s="52"/>
      <c r="L204" s="52"/>
      <c r="M204" s="52"/>
      <c r="N204" s="52"/>
      <c r="O204" s="52"/>
      <c r="P204" s="52"/>
      <c r="Q204" s="52"/>
      <c r="R204" s="52"/>
      <c r="S204" s="52"/>
      <c r="T204" s="52"/>
      <c r="U204" s="52"/>
      <c r="V204" s="288"/>
      <c r="W204" s="133"/>
    </row>
    <row r="205" spans="1:23">
      <c r="A205" s="100" t="s">
        <v>659</v>
      </c>
      <c r="B205" s="52"/>
      <c r="C205" s="52"/>
      <c r="D205" s="52"/>
      <c r="E205" s="52"/>
      <c r="F205" s="52"/>
      <c r="G205" s="52"/>
      <c r="H205" s="52"/>
      <c r="I205" s="52"/>
      <c r="J205" s="52"/>
      <c r="K205" s="52"/>
      <c r="L205" s="52"/>
      <c r="M205" s="52"/>
      <c r="N205" s="52"/>
      <c r="O205" s="52"/>
      <c r="P205" s="52"/>
      <c r="Q205" s="52"/>
      <c r="R205" s="52"/>
      <c r="S205" s="52"/>
      <c r="T205" s="52"/>
      <c r="U205" s="52"/>
      <c r="V205" s="288"/>
      <c r="W205" s="133"/>
    </row>
    <row r="206" spans="1:23">
      <c r="A206" s="100"/>
      <c r="B206" s="52"/>
      <c r="C206" s="52"/>
      <c r="D206" s="52"/>
      <c r="E206" s="52"/>
      <c r="F206" s="52"/>
      <c r="G206" s="52"/>
      <c r="H206" s="52"/>
      <c r="I206" s="52"/>
      <c r="J206" s="52"/>
      <c r="K206" s="52"/>
      <c r="L206" s="52"/>
      <c r="M206" s="52"/>
      <c r="N206" s="52"/>
      <c r="O206" s="52"/>
      <c r="P206" s="52"/>
      <c r="Q206" s="52"/>
      <c r="R206" s="52"/>
      <c r="S206" s="52"/>
      <c r="T206" s="52"/>
      <c r="U206" s="52"/>
      <c r="V206" s="288"/>
      <c r="W206" s="133"/>
    </row>
    <row r="207" spans="1:23" s="100" customFormat="1" ht="13.5" customHeight="1">
      <c r="A207" s="10" t="s">
        <v>1160</v>
      </c>
      <c r="B207" s="52"/>
      <c r="C207" s="52"/>
      <c r="D207" s="52"/>
      <c r="E207" s="52"/>
      <c r="F207" s="52"/>
      <c r="G207" s="52"/>
      <c r="H207" s="52"/>
      <c r="I207" s="52"/>
      <c r="J207" s="52"/>
      <c r="K207" s="52"/>
      <c r="L207" s="52"/>
      <c r="M207" s="52"/>
      <c r="N207" s="52"/>
      <c r="O207" s="52"/>
      <c r="P207" s="52"/>
      <c r="Q207" s="52"/>
      <c r="R207" s="52"/>
      <c r="S207" s="52"/>
      <c r="T207" s="52"/>
      <c r="U207" s="52"/>
      <c r="V207" s="180"/>
      <c r="W207" s="133"/>
    </row>
    <row r="208" spans="1:23" s="100" customFormat="1" ht="13.5" customHeight="1">
      <c r="A208" s="100" t="s">
        <v>659</v>
      </c>
      <c r="B208" s="52"/>
      <c r="C208" s="52"/>
      <c r="D208" s="52"/>
      <c r="E208" s="52"/>
      <c r="F208" s="52"/>
      <c r="G208" s="52"/>
      <c r="H208" s="52"/>
      <c r="I208" s="52"/>
      <c r="J208" s="52"/>
      <c r="K208" s="52"/>
      <c r="L208" s="52"/>
      <c r="M208" s="52"/>
      <c r="N208" s="52"/>
      <c r="O208" s="52"/>
      <c r="P208" s="52"/>
      <c r="Q208" s="52"/>
      <c r="R208" s="52"/>
      <c r="S208" s="52"/>
      <c r="T208" s="52"/>
      <c r="U208" s="52"/>
      <c r="V208" s="180"/>
      <c r="W208" s="133"/>
    </row>
    <row r="209" spans="1:23" s="100" customFormat="1" ht="13.5" customHeight="1">
      <c r="B209" s="52"/>
      <c r="C209" s="52"/>
      <c r="D209" s="52"/>
      <c r="E209" s="52"/>
      <c r="F209" s="52"/>
      <c r="G209" s="52"/>
      <c r="H209" s="52"/>
      <c r="I209" s="52"/>
      <c r="J209" s="52"/>
      <c r="K209" s="52"/>
      <c r="L209" s="52"/>
      <c r="M209" s="52"/>
      <c r="N209" s="52"/>
      <c r="O209" s="52"/>
      <c r="P209" s="52"/>
      <c r="Q209" s="52"/>
      <c r="R209" s="52"/>
      <c r="S209" s="52"/>
      <c r="T209" s="52"/>
      <c r="U209" s="52"/>
      <c r="V209" s="180"/>
      <c r="W209" s="133"/>
    </row>
    <row r="210" spans="1:23">
      <c r="A210" s="197" t="s">
        <v>1340</v>
      </c>
      <c r="B210" s="52"/>
      <c r="C210" s="52"/>
      <c r="D210" s="52"/>
      <c r="E210" s="52"/>
      <c r="F210" s="52"/>
      <c r="G210" s="52"/>
      <c r="H210" s="52"/>
      <c r="I210" s="52"/>
      <c r="J210" s="52"/>
      <c r="K210" s="52"/>
      <c r="L210" s="52"/>
      <c r="M210" s="52"/>
      <c r="N210" s="52"/>
      <c r="O210" s="52"/>
      <c r="P210" s="52"/>
      <c r="Q210" s="52"/>
      <c r="R210" s="52"/>
      <c r="S210" s="52"/>
      <c r="T210" s="52"/>
      <c r="U210" s="52"/>
      <c r="V210" s="288"/>
      <c r="W210" s="161"/>
    </row>
    <row r="211" spans="1:23" s="173" customFormat="1">
      <c r="A211" s="375" t="s">
        <v>1031</v>
      </c>
      <c r="B211" s="52">
        <v>0</v>
      </c>
      <c r="C211" s="52">
        <v>0</v>
      </c>
      <c r="D211" s="52">
        <v>0</v>
      </c>
      <c r="E211" s="52">
        <v>0</v>
      </c>
      <c r="F211" s="52">
        <v>0</v>
      </c>
      <c r="G211" s="52">
        <v>0</v>
      </c>
      <c r="H211" s="52">
        <v>0</v>
      </c>
      <c r="I211" s="52">
        <v>0</v>
      </c>
      <c r="J211" s="52">
        <v>0</v>
      </c>
      <c r="K211" s="52">
        <v>0</v>
      </c>
      <c r="L211" s="52">
        <v>0</v>
      </c>
      <c r="M211" s="52">
        <v>0</v>
      </c>
      <c r="N211" s="52">
        <v>0</v>
      </c>
      <c r="O211" s="52">
        <v>0</v>
      </c>
      <c r="P211" s="52">
        <v>0</v>
      </c>
      <c r="Q211" s="52">
        <v>0</v>
      </c>
      <c r="R211" s="52">
        <v>0</v>
      </c>
      <c r="S211" s="52">
        <v>0</v>
      </c>
      <c r="T211" s="52">
        <v>0</v>
      </c>
      <c r="U211" s="52">
        <v>0</v>
      </c>
      <c r="V211" s="180">
        <f t="shared" ref="V211" si="76">SUM(B211:U211)</f>
        <v>0</v>
      </c>
      <c r="W211" s="133">
        <f t="shared" si="74"/>
        <v>0</v>
      </c>
    </row>
    <row r="212" spans="1:23" s="99" customFormat="1" ht="13.5" customHeight="1">
      <c r="A212" s="100" t="s">
        <v>1012</v>
      </c>
      <c r="B212" s="148">
        <f>SUM(B183:B201)</f>
        <v>7.6950000000000005E-2</v>
      </c>
      <c r="C212" s="148">
        <f t="shared" ref="C212:U212" si="77">SUM(C183:C201)</f>
        <v>1.6199999999999999E-2</v>
      </c>
      <c r="D212" s="148">
        <f t="shared" si="77"/>
        <v>1.6199999999999999E-2</v>
      </c>
      <c r="E212" s="148">
        <f t="shared" si="77"/>
        <v>7.6950000000000005E-2</v>
      </c>
      <c r="F212" s="148">
        <f t="shared" si="77"/>
        <v>1.6199999999999999E-2</v>
      </c>
      <c r="G212" s="148">
        <f t="shared" si="77"/>
        <v>1.6199999999999999E-2</v>
      </c>
      <c r="H212" s="148">
        <f t="shared" si="77"/>
        <v>7.6950000000000005E-2</v>
      </c>
      <c r="I212" s="148">
        <f t="shared" si="77"/>
        <v>1.6199999999999999E-2</v>
      </c>
      <c r="J212" s="148">
        <f t="shared" si="77"/>
        <v>1.6199999999999999E-2</v>
      </c>
      <c r="K212" s="148">
        <f t="shared" si="77"/>
        <v>7.6950000000000005E-2</v>
      </c>
      <c r="L212" s="148">
        <f t="shared" si="77"/>
        <v>1.6199999999999999E-2</v>
      </c>
      <c r="M212" s="148">
        <f t="shared" si="77"/>
        <v>1.6199999999999999E-2</v>
      </c>
      <c r="N212" s="148">
        <f t="shared" si="77"/>
        <v>7.6950000000000005E-2</v>
      </c>
      <c r="O212" s="148">
        <f t="shared" si="77"/>
        <v>1.6199999999999999E-2</v>
      </c>
      <c r="P212" s="148">
        <f t="shared" si="77"/>
        <v>1.6199999999999999E-2</v>
      </c>
      <c r="Q212" s="148">
        <f t="shared" si="77"/>
        <v>7.6950000000000005E-2</v>
      </c>
      <c r="R212" s="148">
        <f t="shared" si="77"/>
        <v>1.6199999999999999E-2</v>
      </c>
      <c r="S212" s="148">
        <f t="shared" si="77"/>
        <v>1.6199999999999999E-2</v>
      </c>
      <c r="T212" s="148">
        <f t="shared" si="77"/>
        <v>7.6950000000000005E-2</v>
      </c>
      <c r="U212" s="148">
        <f t="shared" si="77"/>
        <v>1.6199999999999999E-2</v>
      </c>
      <c r="V212" s="180">
        <f t="shared" ref="V212:V213" si="78">SUM(B212:U212)</f>
        <v>0.74924999999999986</v>
      </c>
      <c r="W212" s="133">
        <f t="shared" ref="W212:W213" si="79">V212/20</f>
        <v>3.7462499999999996E-2</v>
      </c>
    </row>
    <row r="213" spans="1:23" s="99" customFormat="1" ht="40.5" customHeight="1">
      <c r="A213" s="375" t="s">
        <v>1338</v>
      </c>
      <c r="B213" s="148">
        <f>((('Scenario 2 Assumptions'!$D$223+'Scenario 2 Assumptions'!$D$224+'Scenario 2 Assumptions'!$D$225+'Scenario 2 Assumptions'!$D$226+'Scenario 2 Assumptions'!$D$227+'Scenario 2 Assumptions'!$D$228))*'Scenario 2 Assumptions'!$B$176)+B192+B193+B194+B195+B196+B197+B198+B201</f>
        <v>6.3450000000000006E-2</v>
      </c>
      <c r="C213" s="52">
        <f t="shared" ref="C213" si="80">SUM(C212:C212)</f>
        <v>1.6199999999999999E-2</v>
      </c>
      <c r="D213" s="52">
        <f t="shared" ref="D213" si="81">SUM(D212:D212)</f>
        <v>1.6199999999999999E-2</v>
      </c>
      <c r="E213" s="148">
        <f>((('Scenario 2 Assumptions'!$D$223+'Scenario 2 Assumptions'!$D$224+'Scenario 2 Assumptions'!$D$225+'Scenario 2 Assumptions'!$D$226+'Scenario 2 Assumptions'!$D$227+'Scenario 2 Assumptions'!$D$228))*'Scenario 2 Assumptions'!$B$176)+E192+E193+E194+E195+E196+E197+E198+E201</f>
        <v>6.3450000000000006E-2</v>
      </c>
      <c r="F213" s="52">
        <f t="shared" ref="F213" si="82">SUM(F212:F212)</f>
        <v>1.6199999999999999E-2</v>
      </c>
      <c r="G213" s="52">
        <f t="shared" ref="G213" si="83">SUM(G212:G212)</f>
        <v>1.6199999999999999E-2</v>
      </c>
      <c r="H213" s="148">
        <f>((('Scenario 2 Assumptions'!$D$223+'Scenario 2 Assumptions'!$D$224+'Scenario 2 Assumptions'!$D$225+'Scenario 2 Assumptions'!$D$226+'Scenario 2 Assumptions'!$D$227+'Scenario 2 Assumptions'!$D$228))*'Scenario 2 Assumptions'!$B$176)+H192+H193+H194+H195+H196+H197+H198+H201</f>
        <v>6.3450000000000006E-2</v>
      </c>
      <c r="I213" s="52">
        <f t="shared" ref="I213" si="84">SUM(I212:I212)</f>
        <v>1.6199999999999999E-2</v>
      </c>
      <c r="J213" s="52">
        <f t="shared" ref="J213" si="85">SUM(J212:J212)</f>
        <v>1.6199999999999999E-2</v>
      </c>
      <c r="K213" s="148">
        <f>((('Scenario 2 Assumptions'!$D$223+'Scenario 2 Assumptions'!$D$224+'Scenario 2 Assumptions'!$D$225+'Scenario 2 Assumptions'!$D$226+'Scenario 2 Assumptions'!$D$227+'Scenario 2 Assumptions'!$D$228))*'Scenario 2 Assumptions'!$B$176)+K192+K193+K194+K195+K196+K197+K198+K201</f>
        <v>6.3450000000000006E-2</v>
      </c>
      <c r="L213" s="52">
        <f t="shared" ref="L213" si="86">SUM(L212:L212)</f>
        <v>1.6199999999999999E-2</v>
      </c>
      <c r="M213" s="52">
        <f t="shared" ref="M213" si="87">SUM(M212:M212)</f>
        <v>1.6199999999999999E-2</v>
      </c>
      <c r="N213" s="148">
        <f>((('Scenario 2 Assumptions'!$D$223+'Scenario 2 Assumptions'!$D$224+'Scenario 2 Assumptions'!$D$225+'Scenario 2 Assumptions'!$D$226+'Scenario 2 Assumptions'!$D$227+'Scenario 2 Assumptions'!$D$228))*'Scenario 2 Assumptions'!$B$176)+N192+N193+N194+N195+N196+N197+N198+N201</f>
        <v>6.3450000000000006E-2</v>
      </c>
      <c r="O213" s="52">
        <f t="shared" ref="O213" si="88">SUM(O212:O212)</f>
        <v>1.6199999999999999E-2</v>
      </c>
      <c r="P213" s="52">
        <f t="shared" ref="P213" si="89">SUM(P212:P212)</f>
        <v>1.6199999999999999E-2</v>
      </c>
      <c r="Q213" s="148">
        <f>((('Scenario 2 Assumptions'!$D$223+'Scenario 2 Assumptions'!$D$224+'Scenario 2 Assumptions'!$D$225+'Scenario 2 Assumptions'!$D$226+'Scenario 2 Assumptions'!$D$227+'Scenario 2 Assumptions'!$D$228))*'Scenario 2 Assumptions'!$B$176)+Q192+Q193+Q194+Q195+Q196+Q197+Q198+Q201</f>
        <v>6.3450000000000006E-2</v>
      </c>
      <c r="R213" s="52">
        <f t="shared" ref="R213" si="90">SUM(R212:R212)</f>
        <v>1.6199999999999999E-2</v>
      </c>
      <c r="S213" s="52">
        <f>SUM(S212:S212)</f>
        <v>1.6199999999999999E-2</v>
      </c>
      <c r="T213" s="148">
        <f>((('Scenario 2 Assumptions'!$D$223+'Scenario 2 Assumptions'!$D$224+'Scenario 2 Assumptions'!$D$225+'Scenario 2 Assumptions'!$D$226+'Scenario 2 Assumptions'!$D$227+'Scenario 2 Assumptions'!$D$228))*'Scenario 2 Assumptions'!$B$176)+T192+T193+T194+T195+T196+T197+T198+T201</f>
        <v>6.3450000000000006E-2</v>
      </c>
      <c r="U213" s="52">
        <f>SUM(U212:U212)</f>
        <v>1.6199999999999999E-2</v>
      </c>
      <c r="V213" s="180">
        <f t="shared" si="78"/>
        <v>0.65474999999999994</v>
      </c>
      <c r="W213" s="133">
        <f t="shared" si="79"/>
        <v>3.2737499999999996E-2</v>
      </c>
    </row>
    <row r="214" spans="1:23" s="3" customFormat="1" ht="13.5" customHeight="1">
      <c r="A214" s="100" t="s">
        <v>1154</v>
      </c>
      <c r="B214" s="52">
        <f>B211+B212</f>
        <v>7.6950000000000005E-2</v>
      </c>
      <c r="C214" s="52">
        <f t="shared" ref="C214:U214" si="91">C211+C212</f>
        <v>1.6199999999999999E-2</v>
      </c>
      <c r="D214" s="52">
        <f t="shared" si="91"/>
        <v>1.6199999999999999E-2</v>
      </c>
      <c r="E214" s="52">
        <f t="shared" si="91"/>
        <v>7.6950000000000005E-2</v>
      </c>
      <c r="F214" s="52">
        <f t="shared" si="91"/>
        <v>1.6199999999999999E-2</v>
      </c>
      <c r="G214" s="52">
        <f t="shared" si="91"/>
        <v>1.6199999999999999E-2</v>
      </c>
      <c r="H214" s="52">
        <f t="shared" si="91"/>
        <v>7.6950000000000005E-2</v>
      </c>
      <c r="I214" s="52">
        <f t="shared" si="91"/>
        <v>1.6199999999999999E-2</v>
      </c>
      <c r="J214" s="52">
        <f t="shared" si="91"/>
        <v>1.6199999999999999E-2</v>
      </c>
      <c r="K214" s="52">
        <f t="shared" si="91"/>
        <v>7.6950000000000005E-2</v>
      </c>
      <c r="L214" s="52">
        <f t="shared" si="91"/>
        <v>1.6199999999999999E-2</v>
      </c>
      <c r="M214" s="52">
        <f t="shared" si="91"/>
        <v>1.6199999999999999E-2</v>
      </c>
      <c r="N214" s="52">
        <f t="shared" si="91"/>
        <v>7.6950000000000005E-2</v>
      </c>
      <c r="O214" s="52">
        <f t="shared" si="91"/>
        <v>1.6199999999999999E-2</v>
      </c>
      <c r="P214" s="52">
        <f t="shared" si="91"/>
        <v>1.6199999999999999E-2</v>
      </c>
      <c r="Q214" s="52">
        <f t="shared" si="91"/>
        <v>7.6950000000000005E-2</v>
      </c>
      <c r="R214" s="52">
        <f t="shared" si="91"/>
        <v>1.6199999999999999E-2</v>
      </c>
      <c r="S214" s="52">
        <f t="shared" si="91"/>
        <v>1.6199999999999999E-2</v>
      </c>
      <c r="T214" s="52">
        <f t="shared" si="91"/>
        <v>7.6950000000000005E-2</v>
      </c>
      <c r="U214" s="52">
        <f t="shared" si="91"/>
        <v>1.6199999999999999E-2</v>
      </c>
      <c r="V214" s="180">
        <f>SUM(B214:U214)</f>
        <v>0.74924999999999986</v>
      </c>
      <c r="W214" s="133">
        <f>V214/20</f>
        <v>3.7462499999999996E-2</v>
      </c>
    </row>
    <row r="215" spans="1:23" s="3" customFormat="1" ht="13.5" customHeight="1">
      <c r="A215" s="4" t="s">
        <v>709</v>
      </c>
      <c r="B215" s="34">
        <f>B211+B213</f>
        <v>6.3450000000000006E-2</v>
      </c>
      <c r="C215" s="34">
        <f t="shared" ref="C215:U215" si="92">C211+C213</f>
        <v>1.6199999999999999E-2</v>
      </c>
      <c r="D215" s="34">
        <f t="shared" si="92"/>
        <v>1.6199999999999999E-2</v>
      </c>
      <c r="E215" s="34">
        <f t="shared" si="92"/>
        <v>6.3450000000000006E-2</v>
      </c>
      <c r="F215" s="34">
        <f t="shared" si="92"/>
        <v>1.6199999999999999E-2</v>
      </c>
      <c r="G215" s="34">
        <f t="shared" si="92"/>
        <v>1.6199999999999999E-2</v>
      </c>
      <c r="H215" s="34">
        <f t="shared" si="92"/>
        <v>6.3450000000000006E-2</v>
      </c>
      <c r="I215" s="34">
        <f t="shared" si="92"/>
        <v>1.6199999999999999E-2</v>
      </c>
      <c r="J215" s="34">
        <f t="shared" si="92"/>
        <v>1.6199999999999999E-2</v>
      </c>
      <c r="K215" s="34">
        <f t="shared" si="92"/>
        <v>6.3450000000000006E-2</v>
      </c>
      <c r="L215" s="34">
        <f t="shared" si="92"/>
        <v>1.6199999999999999E-2</v>
      </c>
      <c r="M215" s="34">
        <f t="shared" si="92"/>
        <v>1.6199999999999999E-2</v>
      </c>
      <c r="N215" s="34">
        <f t="shared" si="92"/>
        <v>6.3450000000000006E-2</v>
      </c>
      <c r="O215" s="34">
        <f t="shared" si="92"/>
        <v>1.6199999999999999E-2</v>
      </c>
      <c r="P215" s="34">
        <f t="shared" si="92"/>
        <v>1.6199999999999999E-2</v>
      </c>
      <c r="Q215" s="34">
        <f t="shared" si="92"/>
        <v>6.3450000000000006E-2</v>
      </c>
      <c r="R215" s="34">
        <f t="shared" si="92"/>
        <v>1.6199999999999999E-2</v>
      </c>
      <c r="S215" s="34">
        <f t="shared" si="92"/>
        <v>1.6199999999999999E-2</v>
      </c>
      <c r="T215" s="34">
        <f t="shared" si="92"/>
        <v>6.3450000000000006E-2</v>
      </c>
      <c r="U215" s="34">
        <f t="shared" si="92"/>
        <v>1.6199999999999999E-2</v>
      </c>
      <c r="V215" s="182">
        <f>SUM(B215:U215)</f>
        <v>0.65474999999999994</v>
      </c>
      <c r="W215" s="35">
        <f>V215/20</f>
        <v>3.2737499999999996E-2</v>
      </c>
    </row>
    <row r="216" spans="1:23" ht="13.5" customHeight="1">
      <c r="A216" s="165" t="s">
        <v>123</v>
      </c>
      <c r="B216" s="52">
        <v>0.96618357487922713</v>
      </c>
      <c r="C216" s="52">
        <v>0.93351070036640305</v>
      </c>
      <c r="D216" s="52">
        <v>0.90194270566802237</v>
      </c>
      <c r="E216" s="52">
        <v>0.87144222769857238</v>
      </c>
      <c r="F216" s="52">
        <v>0.84197316685852419</v>
      </c>
      <c r="G216" s="52">
        <v>0.81350064430775282</v>
      </c>
      <c r="H216" s="52">
        <v>0.78599096068381913</v>
      </c>
      <c r="I216" s="52">
        <v>0.75941155621625056</v>
      </c>
      <c r="J216" s="52">
        <v>0.73373097218961414</v>
      </c>
      <c r="K216" s="52">
        <v>0.70891881370977217</v>
      </c>
      <c r="L216" s="52">
        <v>0.68494571372924851</v>
      </c>
      <c r="M216" s="52">
        <v>0.66178329828912896</v>
      </c>
      <c r="N216" s="52">
        <v>0.63940415293635666</v>
      </c>
      <c r="O216" s="52">
        <v>0.61778179027667302</v>
      </c>
      <c r="P216" s="52">
        <v>0.59689061862480497</v>
      </c>
      <c r="Q216" s="52">
        <v>0.57670591171478747</v>
      </c>
      <c r="R216" s="52">
        <v>0.55720377943457733</v>
      </c>
      <c r="S216" s="52">
        <v>0.53836113955031628</v>
      </c>
      <c r="T216" s="52">
        <v>0.52015569038677911</v>
      </c>
      <c r="U216" s="52">
        <v>0.50256588443167061</v>
      </c>
      <c r="V216" s="182"/>
      <c r="W216" s="35"/>
    </row>
    <row r="217" spans="1:23" s="81" customFormat="1" ht="13.5" customHeight="1">
      <c r="A217" s="100" t="s">
        <v>1069</v>
      </c>
      <c r="B217" s="52">
        <f>B216*B214</f>
        <v>7.4347826086956531E-2</v>
      </c>
      <c r="C217" s="52">
        <f t="shared" ref="C217:U217" si="93">C216*C214</f>
        <v>1.5122873345935728E-2</v>
      </c>
      <c r="D217" s="52">
        <f t="shared" si="93"/>
        <v>1.4611471831821961E-2</v>
      </c>
      <c r="E217" s="52">
        <f t="shared" si="93"/>
        <v>6.705747942140515E-2</v>
      </c>
      <c r="F217" s="52">
        <f t="shared" si="93"/>
        <v>1.3639965303108091E-2</v>
      </c>
      <c r="G217" s="52">
        <f t="shared" si="93"/>
        <v>1.3178710437785596E-2</v>
      </c>
      <c r="H217" s="52">
        <f t="shared" si="93"/>
        <v>6.0482004424619887E-2</v>
      </c>
      <c r="I217" s="52">
        <f t="shared" si="93"/>
        <v>1.2302467210703258E-2</v>
      </c>
      <c r="J217" s="52">
        <f t="shared" si="93"/>
        <v>1.1886441749471748E-2</v>
      </c>
      <c r="K217" s="52">
        <f t="shared" si="93"/>
        <v>5.455130271496697E-2</v>
      </c>
      <c r="L217" s="52">
        <f t="shared" si="93"/>
        <v>1.1096120562413825E-2</v>
      </c>
      <c r="M217" s="52">
        <f t="shared" si="93"/>
        <v>1.0720889432283888E-2</v>
      </c>
      <c r="N217" s="52">
        <f t="shared" si="93"/>
        <v>4.9202149568452647E-2</v>
      </c>
      <c r="O217" s="52">
        <f t="shared" si="93"/>
        <v>1.0008065002482103E-2</v>
      </c>
      <c r="P217" s="52">
        <f t="shared" si="93"/>
        <v>9.6696280217218392E-3</v>
      </c>
      <c r="Q217" s="52">
        <f t="shared" si="93"/>
        <v>4.4377519906452896E-2</v>
      </c>
      <c r="R217" s="52">
        <f t="shared" si="93"/>
        <v>9.0267012268401524E-3</v>
      </c>
      <c r="S217" s="52">
        <f t="shared" si="93"/>
        <v>8.7214504607151227E-3</v>
      </c>
      <c r="T217" s="52">
        <f t="shared" si="93"/>
        <v>4.0025980375262657E-2</v>
      </c>
      <c r="U217" s="52">
        <f t="shared" si="93"/>
        <v>8.1415673277930641E-3</v>
      </c>
      <c r="V217" s="180">
        <f>SUM(B217:U217)</f>
        <v>0.53817061441119296</v>
      </c>
      <c r="W217" s="133"/>
    </row>
    <row r="218" spans="1:23" s="3" customFormat="1" ht="27" customHeight="1">
      <c r="A218" s="260" t="s">
        <v>1148</v>
      </c>
      <c r="B218" s="34">
        <f>B216*B215</f>
        <v>6.1304347826086965E-2</v>
      </c>
      <c r="C218" s="34">
        <f t="shared" ref="C218:U218" si="94">C216*C215</f>
        <v>1.5122873345935728E-2</v>
      </c>
      <c r="D218" s="34">
        <f t="shared" si="94"/>
        <v>1.4611471831821961E-2</v>
      </c>
      <c r="E218" s="34">
        <f t="shared" si="94"/>
        <v>5.5293009347474421E-2</v>
      </c>
      <c r="F218" s="34">
        <f t="shared" si="94"/>
        <v>1.3639965303108091E-2</v>
      </c>
      <c r="G218" s="34">
        <f t="shared" si="94"/>
        <v>1.3178710437785596E-2</v>
      </c>
      <c r="H218" s="34">
        <f t="shared" si="94"/>
        <v>4.9871126455388326E-2</v>
      </c>
      <c r="I218" s="34">
        <f t="shared" si="94"/>
        <v>1.2302467210703258E-2</v>
      </c>
      <c r="J218" s="34">
        <f t="shared" si="94"/>
        <v>1.1886441749471748E-2</v>
      </c>
      <c r="K218" s="34">
        <f t="shared" si="94"/>
        <v>4.4980898729885047E-2</v>
      </c>
      <c r="L218" s="34">
        <f t="shared" si="94"/>
        <v>1.1096120562413825E-2</v>
      </c>
      <c r="M218" s="34">
        <f t="shared" si="94"/>
        <v>1.0720889432283888E-2</v>
      </c>
      <c r="N218" s="34">
        <f t="shared" si="94"/>
        <v>4.0570193503811837E-2</v>
      </c>
      <c r="O218" s="34">
        <f t="shared" si="94"/>
        <v>1.0008065002482103E-2</v>
      </c>
      <c r="P218" s="34">
        <f t="shared" si="94"/>
        <v>9.6696280217218392E-3</v>
      </c>
      <c r="Q218" s="34">
        <f t="shared" si="94"/>
        <v>3.6591990098303266E-2</v>
      </c>
      <c r="R218" s="34">
        <f t="shared" si="94"/>
        <v>9.0267012268401524E-3</v>
      </c>
      <c r="S218" s="34">
        <f t="shared" si="94"/>
        <v>8.7214504607151227E-3</v>
      </c>
      <c r="T218" s="34">
        <f t="shared" si="94"/>
        <v>3.3003878555041138E-2</v>
      </c>
      <c r="U218" s="34">
        <f t="shared" si="94"/>
        <v>8.1415673277930641E-3</v>
      </c>
      <c r="V218" s="182">
        <f>SUM(B218:U218)</f>
        <v>0.46974179642906738</v>
      </c>
      <c r="W218" s="35"/>
    </row>
    <row r="219" spans="1:23" s="3" customFormat="1">
      <c r="A219" s="260"/>
      <c r="B219" s="34"/>
      <c r="C219" s="34"/>
      <c r="D219" s="34"/>
      <c r="E219" s="34"/>
      <c r="F219" s="34"/>
      <c r="G219" s="34"/>
      <c r="H219" s="34"/>
      <c r="I219" s="34"/>
      <c r="J219" s="34"/>
      <c r="K219" s="34"/>
      <c r="L219" s="34"/>
      <c r="M219" s="34"/>
      <c r="N219" s="34"/>
      <c r="O219" s="34"/>
      <c r="P219" s="34"/>
      <c r="Q219" s="34"/>
      <c r="R219" s="34"/>
      <c r="S219" s="34"/>
      <c r="T219" s="34"/>
      <c r="U219" s="34"/>
      <c r="V219" s="182"/>
      <c r="W219" s="35"/>
    </row>
    <row r="220" spans="1:23" s="3" customFormat="1" ht="25.5">
      <c r="A220" s="286" t="s">
        <v>1349</v>
      </c>
      <c r="B220" s="284">
        <f>((('Scenario 2 Assumptions'!$D$223+'Scenario 2 Assumptions'!$D$224+'Scenario 2 Assumptions'!$D$225+'Scenario 2 Assumptions'!$D$226+'Scenario 2 Assumptions'!$D$227+'Scenario 2 Assumptions'!$D$228))*'Scenario 2 Assumptions'!$B$176)</f>
        <v>4.725E-2</v>
      </c>
      <c r="C220" s="284">
        <v>0</v>
      </c>
      <c r="D220" s="284">
        <v>0</v>
      </c>
      <c r="E220" s="284">
        <f>((('Scenario 2 Assumptions'!$D$223+'Scenario 2 Assumptions'!$D$224+'Scenario 2 Assumptions'!$D$225+'Scenario 2 Assumptions'!$D$226+'Scenario 2 Assumptions'!$D$227+'Scenario 2 Assumptions'!$D$228))*'Scenario 2 Assumptions'!$B$176)</f>
        <v>4.725E-2</v>
      </c>
      <c r="F220" s="284">
        <v>0</v>
      </c>
      <c r="G220" s="284">
        <v>0</v>
      </c>
      <c r="H220" s="284">
        <f>((('Scenario 2 Assumptions'!$D$223+'Scenario 2 Assumptions'!$D$224+'Scenario 2 Assumptions'!$D$225+'Scenario 2 Assumptions'!$D$226+'Scenario 2 Assumptions'!$D$227+'Scenario 2 Assumptions'!$D$228))*'Scenario 2 Assumptions'!$B$176)</f>
        <v>4.725E-2</v>
      </c>
      <c r="I220" s="284">
        <v>0</v>
      </c>
      <c r="J220" s="284">
        <v>0</v>
      </c>
      <c r="K220" s="284">
        <f>((('Scenario 2 Assumptions'!$D$223+'Scenario 2 Assumptions'!$D$224+'Scenario 2 Assumptions'!$D$225+'Scenario 2 Assumptions'!$D$226+'Scenario 2 Assumptions'!$D$227+'Scenario 2 Assumptions'!$D$228))*'Scenario 2 Assumptions'!$B$176)</f>
        <v>4.725E-2</v>
      </c>
      <c r="L220" s="284">
        <v>0</v>
      </c>
      <c r="M220" s="284">
        <v>0</v>
      </c>
      <c r="N220" s="284">
        <f>((('Scenario 2 Assumptions'!$D$223+'Scenario 2 Assumptions'!$D$224+'Scenario 2 Assumptions'!$D$225+'Scenario 2 Assumptions'!$D$226+'Scenario 2 Assumptions'!$D$227+'Scenario 2 Assumptions'!$D$228))*'Scenario 2 Assumptions'!$B$176)</f>
        <v>4.725E-2</v>
      </c>
      <c r="O220" s="284">
        <v>0</v>
      </c>
      <c r="P220" s="284">
        <v>0</v>
      </c>
      <c r="Q220" s="284">
        <f>((('Scenario 2 Assumptions'!$D$223+'Scenario 2 Assumptions'!$D$224+'Scenario 2 Assumptions'!$D$225+'Scenario 2 Assumptions'!$D$226+'Scenario 2 Assumptions'!$D$227+'Scenario 2 Assumptions'!$D$228))*'Scenario 2 Assumptions'!$B$176)</f>
        <v>4.725E-2</v>
      </c>
      <c r="R220" s="284">
        <v>0</v>
      </c>
      <c r="S220" s="284">
        <v>0</v>
      </c>
      <c r="T220" s="284">
        <f>((('Scenario 2 Assumptions'!$D$223+'Scenario 2 Assumptions'!$D$224+'Scenario 2 Assumptions'!$D$225+'Scenario 2 Assumptions'!$D$226+'Scenario 2 Assumptions'!$D$227+'Scenario 2 Assumptions'!$D$228))*'Scenario 2 Assumptions'!$B$176)</f>
        <v>4.725E-2</v>
      </c>
      <c r="U220" s="284">
        <v>0</v>
      </c>
      <c r="V220" s="290">
        <f>SUM(B220:U220)</f>
        <v>0.33075000000000004</v>
      </c>
      <c r="W220" s="285">
        <f>V220/20</f>
        <v>1.6537500000000004E-2</v>
      </c>
    </row>
    <row r="221" spans="1:23" s="264" customFormat="1" ht="27" customHeight="1">
      <c r="A221" s="286" t="s">
        <v>1350</v>
      </c>
      <c r="B221" s="284">
        <f>B215</f>
        <v>6.3450000000000006E-2</v>
      </c>
      <c r="C221" s="284">
        <f t="shared" ref="C221:U221" si="95">C215</f>
        <v>1.6199999999999999E-2</v>
      </c>
      <c r="D221" s="284">
        <f t="shared" si="95"/>
        <v>1.6199999999999999E-2</v>
      </c>
      <c r="E221" s="284">
        <f t="shared" si="95"/>
        <v>6.3450000000000006E-2</v>
      </c>
      <c r="F221" s="284">
        <f t="shared" si="95"/>
        <v>1.6199999999999999E-2</v>
      </c>
      <c r="G221" s="284">
        <f t="shared" si="95"/>
        <v>1.6199999999999999E-2</v>
      </c>
      <c r="H221" s="284">
        <f t="shared" si="95"/>
        <v>6.3450000000000006E-2</v>
      </c>
      <c r="I221" s="284">
        <f t="shared" si="95"/>
        <v>1.6199999999999999E-2</v>
      </c>
      <c r="J221" s="284">
        <f t="shared" si="95"/>
        <v>1.6199999999999999E-2</v>
      </c>
      <c r="K221" s="284">
        <f t="shared" si="95"/>
        <v>6.3450000000000006E-2</v>
      </c>
      <c r="L221" s="284">
        <f t="shared" si="95"/>
        <v>1.6199999999999999E-2</v>
      </c>
      <c r="M221" s="284">
        <f t="shared" si="95"/>
        <v>1.6199999999999999E-2</v>
      </c>
      <c r="N221" s="284">
        <f t="shared" si="95"/>
        <v>6.3450000000000006E-2</v>
      </c>
      <c r="O221" s="284">
        <f t="shared" si="95"/>
        <v>1.6199999999999999E-2</v>
      </c>
      <c r="P221" s="284">
        <f t="shared" si="95"/>
        <v>1.6199999999999999E-2</v>
      </c>
      <c r="Q221" s="284">
        <f t="shared" si="95"/>
        <v>6.3450000000000006E-2</v>
      </c>
      <c r="R221" s="284">
        <f t="shared" si="95"/>
        <v>1.6199999999999999E-2</v>
      </c>
      <c r="S221" s="284">
        <f t="shared" si="95"/>
        <v>1.6199999999999999E-2</v>
      </c>
      <c r="T221" s="284">
        <f t="shared" si="95"/>
        <v>6.3450000000000006E-2</v>
      </c>
      <c r="U221" s="284">
        <f t="shared" si="95"/>
        <v>1.6199999999999999E-2</v>
      </c>
      <c r="V221" s="290">
        <f>SUM(B221:U221)</f>
        <v>0.65474999999999994</v>
      </c>
      <c r="W221" s="285">
        <f>V221/20</f>
        <v>3.2737499999999996E-2</v>
      </c>
    </row>
    <row r="222" spans="1:23" ht="13.5" thickBot="1">
      <c r="A222" s="100"/>
      <c r="B222" s="100"/>
      <c r="C222" s="100"/>
      <c r="D222" s="100"/>
      <c r="E222" s="100"/>
      <c r="F222" s="100"/>
      <c r="G222" s="100"/>
      <c r="H222" s="100"/>
      <c r="I222" s="100"/>
      <c r="J222" s="100"/>
      <c r="K222" s="100"/>
      <c r="L222" s="100"/>
      <c r="M222" s="100"/>
      <c r="N222" s="100"/>
      <c r="O222" s="100"/>
      <c r="P222" s="100"/>
      <c r="Q222" s="100"/>
      <c r="R222" s="100"/>
      <c r="S222" s="100"/>
      <c r="T222" s="100"/>
      <c r="U222" s="100"/>
      <c r="V222" s="292"/>
      <c r="W222" s="140"/>
    </row>
    <row r="223" spans="1:23">
      <c r="A223" s="177"/>
      <c r="B223" s="188"/>
      <c r="C223" s="188"/>
      <c r="D223" s="188"/>
      <c r="E223" s="188"/>
      <c r="F223" s="188"/>
      <c r="G223" s="188"/>
      <c r="H223" s="188"/>
      <c r="I223" s="188"/>
      <c r="J223" s="188"/>
      <c r="K223" s="188"/>
      <c r="L223" s="188"/>
      <c r="M223" s="188"/>
      <c r="N223" s="188"/>
      <c r="O223" s="188"/>
      <c r="P223" s="188"/>
      <c r="Q223" s="188"/>
      <c r="R223" s="188"/>
      <c r="S223" s="188"/>
      <c r="T223" s="188"/>
      <c r="U223" s="188"/>
      <c r="V223" s="287"/>
      <c r="W223" s="130"/>
    </row>
    <row r="224" spans="1:23" s="81" customFormat="1">
      <c r="A224" s="263" t="s">
        <v>1057</v>
      </c>
      <c r="B224" s="267"/>
      <c r="D224" s="267"/>
      <c r="E224" s="267"/>
      <c r="F224" s="267"/>
      <c r="G224" s="267"/>
      <c r="H224" s="267"/>
      <c r="I224" s="267"/>
      <c r="J224" s="267"/>
      <c r="K224" s="267"/>
      <c r="L224" s="267"/>
      <c r="M224" s="267"/>
      <c r="N224" s="267"/>
      <c r="O224" s="267"/>
      <c r="P224" s="267"/>
      <c r="Q224" s="267"/>
      <c r="R224" s="267"/>
      <c r="S224" s="267"/>
      <c r="T224" s="267"/>
      <c r="U224" s="267"/>
      <c r="V224" s="186"/>
      <c r="W224" s="171"/>
    </row>
    <row r="225" spans="1:23" s="81" customFormat="1">
      <c r="A225" s="48"/>
      <c r="B225" s="267"/>
      <c r="C225" s="267"/>
      <c r="D225" s="267"/>
      <c r="E225" s="267"/>
      <c r="F225" s="267"/>
      <c r="G225" s="267"/>
      <c r="H225" s="267"/>
      <c r="I225" s="267"/>
      <c r="J225" s="267"/>
      <c r="K225" s="267"/>
      <c r="L225" s="267"/>
      <c r="M225" s="267"/>
      <c r="N225" s="267"/>
      <c r="O225" s="267"/>
      <c r="P225" s="267"/>
      <c r="Q225" s="267"/>
      <c r="R225" s="267"/>
      <c r="S225" s="267"/>
      <c r="T225" s="267"/>
      <c r="U225" s="267"/>
      <c r="V225" s="186"/>
      <c r="W225" s="171"/>
    </row>
    <row r="226" spans="1:23" s="81" customFormat="1">
      <c r="A226" s="327" t="s">
        <v>1038</v>
      </c>
      <c r="B226" s="52">
        <f t="shared" ref="B226:U226" si="96">B58+B126+B168+B213</f>
        <v>24.857249999999997</v>
      </c>
      <c r="C226" s="52">
        <f t="shared" si="96"/>
        <v>0.656775</v>
      </c>
      <c r="D226" s="52">
        <f t="shared" si="96"/>
        <v>0.65002499999999996</v>
      </c>
      <c r="E226" s="52">
        <f t="shared" si="96"/>
        <v>0.86399999999999999</v>
      </c>
      <c r="F226" s="52">
        <f t="shared" si="96"/>
        <v>0.656775</v>
      </c>
      <c r="G226" s="52">
        <f t="shared" si="96"/>
        <v>0.65002499999999996</v>
      </c>
      <c r="H226" s="52">
        <f t="shared" si="96"/>
        <v>0.85050000000000003</v>
      </c>
      <c r="I226" s="52">
        <f t="shared" si="96"/>
        <v>0.65002499999999996</v>
      </c>
      <c r="J226" s="52">
        <f t="shared" si="96"/>
        <v>0.66352500000000003</v>
      </c>
      <c r="K226" s="52">
        <f t="shared" si="96"/>
        <v>0.85050000000000003</v>
      </c>
      <c r="L226" s="52">
        <f t="shared" si="96"/>
        <v>0.65002499999999996</v>
      </c>
      <c r="M226" s="52">
        <f t="shared" si="96"/>
        <v>0.65002499999999996</v>
      </c>
      <c r="N226" s="52">
        <f t="shared" si="96"/>
        <v>0.85050000000000003</v>
      </c>
      <c r="O226" s="52">
        <f t="shared" si="96"/>
        <v>0.66352500000000003</v>
      </c>
      <c r="P226" s="52">
        <f t="shared" si="96"/>
        <v>0.65002499999999996</v>
      </c>
      <c r="Q226" s="52">
        <f t="shared" si="96"/>
        <v>0.84375</v>
      </c>
      <c r="R226" s="52">
        <f t="shared" si="96"/>
        <v>0.65002499999999996</v>
      </c>
      <c r="S226" s="52">
        <f t="shared" si="96"/>
        <v>0.65002499999999996</v>
      </c>
      <c r="T226" s="52">
        <f t="shared" si="96"/>
        <v>0.85725000000000007</v>
      </c>
      <c r="U226" s="52">
        <f t="shared" si="96"/>
        <v>0.65002499999999996</v>
      </c>
      <c r="V226" s="180">
        <f t="shared" ref="V226:V227" si="97">SUM(B226:U226)</f>
        <v>38.464574999999989</v>
      </c>
      <c r="W226" s="161">
        <f t="shared" ref="W226:W227" si="98">V226/20</f>
        <v>1.9232287499999994</v>
      </c>
    </row>
    <row r="227" spans="1:23" s="81" customFormat="1">
      <c r="A227" s="200" t="s">
        <v>1039</v>
      </c>
      <c r="B227" s="52">
        <f t="shared" ref="B227:U227" si="99">B56+B124+B166+B211</f>
        <v>7.5465840517241381E-2</v>
      </c>
      <c r="C227" s="52">
        <f t="shared" si="99"/>
        <v>7.5465840517241381E-2</v>
      </c>
      <c r="D227" s="52">
        <f t="shared" si="99"/>
        <v>7.5465840517241381E-2</v>
      </c>
      <c r="E227" s="52">
        <f t="shared" si="99"/>
        <v>7.5465840517241381E-2</v>
      </c>
      <c r="F227" s="52">
        <f t="shared" si="99"/>
        <v>7.5465840517241381E-2</v>
      </c>
      <c r="G227" s="52">
        <f t="shared" si="99"/>
        <v>7.5465840517241381E-2</v>
      </c>
      <c r="H227" s="52">
        <f t="shared" si="99"/>
        <v>7.5465840517241381E-2</v>
      </c>
      <c r="I227" s="52">
        <f t="shared" si="99"/>
        <v>7.5465840517241381E-2</v>
      </c>
      <c r="J227" s="52">
        <f t="shared" si="99"/>
        <v>7.5465840517241381E-2</v>
      </c>
      <c r="K227" s="52">
        <f t="shared" si="99"/>
        <v>7.5465840517241381E-2</v>
      </c>
      <c r="L227" s="52">
        <f t="shared" si="99"/>
        <v>7.5465840517241381E-2</v>
      </c>
      <c r="M227" s="52">
        <f t="shared" si="99"/>
        <v>7.5465840517241381E-2</v>
      </c>
      <c r="N227" s="52">
        <f t="shared" si="99"/>
        <v>7.5465840517241381E-2</v>
      </c>
      <c r="O227" s="52">
        <f t="shared" si="99"/>
        <v>7.5465840517241381E-2</v>
      </c>
      <c r="P227" s="52">
        <f t="shared" si="99"/>
        <v>7.5465840517241381E-2</v>
      </c>
      <c r="Q227" s="52">
        <f t="shared" si="99"/>
        <v>7.5465840517241381E-2</v>
      </c>
      <c r="R227" s="52">
        <f t="shared" si="99"/>
        <v>7.5465840517241381E-2</v>
      </c>
      <c r="S227" s="52">
        <f t="shared" si="99"/>
        <v>7.5465840517241381E-2</v>
      </c>
      <c r="T227" s="52">
        <f t="shared" si="99"/>
        <v>7.5465840517241381E-2</v>
      </c>
      <c r="U227" s="52">
        <f t="shared" si="99"/>
        <v>7.5465840517241381E-2</v>
      </c>
      <c r="V227" s="180">
        <f t="shared" si="97"/>
        <v>1.5093168103448282</v>
      </c>
      <c r="W227" s="161">
        <f t="shared" si="98"/>
        <v>7.5465840517241409E-2</v>
      </c>
    </row>
    <row r="228" spans="1:23" s="3" customFormat="1" ht="13.5" customHeight="1">
      <c r="A228" s="263" t="s">
        <v>709</v>
      </c>
      <c r="B228" s="34">
        <f>B226+B227</f>
        <v>24.93271584051724</v>
      </c>
      <c r="C228" s="34">
        <f t="shared" ref="C228:U228" si="100">C226+C227</f>
        <v>0.73224084051724136</v>
      </c>
      <c r="D228" s="34">
        <f t="shared" si="100"/>
        <v>0.72549084051724133</v>
      </c>
      <c r="E228" s="34">
        <f t="shared" si="100"/>
        <v>0.93946584051724136</v>
      </c>
      <c r="F228" s="34">
        <f t="shared" si="100"/>
        <v>0.73224084051724136</v>
      </c>
      <c r="G228" s="34">
        <f t="shared" si="100"/>
        <v>0.72549084051724133</v>
      </c>
      <c r="H228" s="34">
        <f t="shared" si="100"/>
        <v>0.9259658405172414</v>
      </c>
      <c r="I228" s="34">
        <f t="shared" si="100"/>
        <v>0.72549084051724133</v>
      </c>
      <c r="J228" s="34">
        <f t="shared" si="100"/>
        <v>0.7389908405172414</v>
      </c>
      <c r="K228" s="34">
        <f t="shared" si="100"/>
        <v>0.9259658405172414</v>
      </c>
      <c r="L228" s="34">
        <f t="shared" si="100"/>
        <v>0.72549084051724133</v>
      </c>
      <c r="M228" s="34">
        <f t="shared" si="100"/>
        <v>0.72549084051724133</v>
      </c>
      <c r="N228" s="34">
        <f t="shared" si="100"/>
        <v>0.9259658405172414</v>
      </c>
      <c r="O228" s="34">
        <f t="shared" si="100"/>
        <v>0.7389908405172414</v>
      </c>
      <c r="P228" s="34">
        <f t="shared" si="100"/>
        <v>0.72549084051724133</v>
      </c>
      <c r="Q228" s="34">
        <f t="shared" si="100"/>
        <v>0.91921584051724137</v>
      </c>
      <c r="R228" s="34">
        <f t="shared" si="100"/>
        <v>0.72549084051724133</v>
      </c>
      <c r="S228" s="34">
        <f t="shared" si="100"/>
        <v>0.72549084051724133</v>
      </c>
      <c r="T228" s="34">
        <f t="shared" si="100"/>
        <v>0.93271584051724143</v>
      </c>
      <c r="U228" s="34">
        <f t="shared" si="100"/>
        <v>0.72549084051724133</v>
      </c>
      <c r="V228" s="182">
        <f>SUM(B228:U228)</f>
        <v>39.97389181034481</v>
      </c>
      <c r="W228" s="35">
        <f>V228/20</f>
        <v>1.9986945905172404</v>
      </c>
    </row>
    <row r="229" spans="1:23" ht="13.5" customHeight="1">
      <c r="A229" s="269" t="s">
        <v>123</v>
      </c>
      <c r="B229" s="52">
        <v>0.96618357487922713</v>
      </c>
      <c r="C229" s="52">
        <v>0.93351070036640305</v>
      </c>
      <c r="D229" s="52">
        <v>0.90194270566802237</v>
      </c>
      <c r="E229" s="52">
        <v>0.87144222769857238</v>
      </c>
      <c r="F229" s="52">
        <v>0.84197316685852419</v>
      </c>
      <c r="G229" s="52">
        <v>0.81350064430775282</v>
      </c>
      <c r="H229" s="52">
        <v>0.78599096068381913</v>
      </c>
      <c r="I229" s="52">
        <v>0.75941155621625056</v>
      </c>
      <c r="J229" s="52">
        <v>0.73373097218961414</v>
      </c>
      <c r="K229" s="52">
        <v>0.70891881370977217</v>
      </c>
      <c r="L229" s="52">
        <v>0.68494571372924851</v>
      </c>
      <c r="M229" s="52">
        <v>0.66178329828912896</v>
      </c>
      <c r="N229" s="52">
        <v>0.63940415293635666</v>
      </c>
      <c r="O229" s="52">
        <v>0.61778179027667302</v>
      </c>
      <c r="P229" s="52">
        <v>0.59689061862480497</v>
      </c>
      <c r="Q229" s="52">
        <v>0.57670591171478747</v>
      </c>
      <c r="R229" s="52">
        <v>0.55720377943457733</v>
      </c>
      <c r="S229" s="52">
        <v>0.53836113955031628</v>
      </c>
      <c r="T229" s="52">
        <v>0.52015569038677911</v>
      </c>
      <c r="U229" s="52">
        <v>0.50256588443167061</v>
      </c>
      <c r="V229" s="182"/>
      <c r="W229" s="35"/>
    </row>
    <row r="230" spans="1:23" s="3" customFormat="1" ht="27" customHeight="1">
      <c r="A230" s="49" t="s">
        <v>1152</v>
      </c>
      <c r="B230" s="34">
        <f>B229*B228</f>
        <v>24.089580522238879</v>
      </c>
      <c r="C230" s="34">
        <f t="shared" ref="C230:U230" si="101">C229*C228</f>
        <v>0.68355465986813357</v>
      </c>
      <c r="D230" s="34">
        <f t="shared" si="101"/>
        <v>0.65435117163348833</v>
      </c>
      <c r="E230" s="34">
        <f t="shared" si="101"/>
        <v>0.81869020490705657</v>
      </c>
      <c r="F230" s="34">
        <f t="shared" si="101"/>
        <v>0.61652713939344927</v>
      </c>
      <c r="G230" s="34">
        <f t="shared" si="101"/>
        <v>0.59018726620014894</v>
      </c>
      <c r="H230" s="34">
        <f t="shared" si="101"/>
        <v>0.72780078054854658</v>
      </c>
      <c r="I230" s="34">
        <f t="shared" si="101"/>
        <v>0.55094612821783384</v>
      </c>
      <c r="J230" s="34">
        <f t="shared" si="101"/>
        <v>0.54222046785193567</v>
      </c>
      <c r="K230" s="34">
        <f t="shared" si="101"/>
        <v>0.65643460519525487</v>
      </c>
      <c r="L230" s="34">
        <f t="shared" si="101"/>
        <v>0.49692184156211427</v>
      </c>
      <c r="M230" s="34">
        <f t="shared" si="101"/>
        <v>0.4801177213160524</v>
      </c>
      <c r="N230" s="34">
        <f t="shared" si="101"/>
        <v>0.59206640390392828</v>
      </c>
      <c r="O230" s="34">
        <f t="shared" si="101"/>
        <v>0.45653508445280472</v>
      </c>
      <c r="P230" s="34">
        <f t="shared" si="101"/>
        <v>0.43303867660296591</v>
      </c>
      <c r="Q230" s="34">
        <f t="shared" si="101"/>
        <v>0.53011720936817031</v>
      </c>
      <c r="R230" s="34">
        <f t="shared" si="101"/>
        <v>0.40424623828137507</v>
      </c>
      <c r="S230" s="34">
        <f t="shared" si="101"/>
        <v>0.39057607563417879</v>
      </c>
      <c r="T230" s="34">
        <f t="shared" si="101"/>
        <v>0.48515745195893067</v>
      </c>
      <c r="U230" s="34">
        <f t="shared" si="101"/>
        <v>0.36460694591162346</v>
      </c>
      <c r="V230" s="380">
        <f>SUM(B230:U230)</f>
        <v>34.563676595046879</v>
      </c>
      <c r="W230" s="35"/>
    </row>
    <row r="231" spans="1:23" s="3" customFormat="1" ht="13.5" thickBot="1">
      <c r="A231" s="43"/>
      <c r="B231" s="38"/>
      <c r="C231" s="38"/>
      <c r="D231" s="38"/>
      <c r="E231" s="38"/>
      <c r="F231" s="38"/>
      <c r="G231" s="38"/>
      <c r="H231" s="38"/>
      <c r="I231" s="38"/>
      <c r="J231" s="38"/>
      <c r="K231" s="38"/>
      <c r="L231" s="38"/>
      <c r="M231" s="38"/>
      <c r="N231" s="38"/>
      <c r="O231" s="38"/>
      <c r="P231" s="38"/>
      <c r="Q231" s="38"/>
      <c r="R231" s="38"/>
      <c r="S231" s="38"/>
      <c r="T231" s="38"/>
      <c r="U231" s="38"/>
      <c r="V231" s="183"/>
      <c r="W231" s="39"/>
    </row>
    <row r="232" spans="1:23" s="3" customFormat="1">
      <c r="A232" s="260"/>
      <c r="B232" s="34"/>
      <c r="C232" s="34"/>
      <c r="D232" s="34"/>
      <c r="E232" s="34"/>
      <c r="F232" s="34"/>
      <c r="G232" s="34"/>
      <c r="H232" s="34"/>
      <c r="I232" s="34"/>
      <c r="J232" s="34"/>
      <c r="K232" s="34"/>
      <c r="L232" s="34"/>
      <c r="M232" s="34"/>
      <c r="N232" s="34"/>
      <c r="O232" s="34"/>
      <c r="P232" s="34"/>
      <c r="Q232" s="34"/>
      <c r="R232" s="34"/>
      <c r="S232" s="34"/>
      <c r="T232" s="34"/>
      <c r="U232" s="34"/>
      <c r="V232" s="34"/>
      <c r="W232" s="34"/>
    </row>
    <row r="234" spans="1:23" ht="24" customHeight="1">
      <c r="A234" s="328" t="s">
        <v>1150</v>
      </c>
      <c r="B234" s="270"/>
      <c r="C234" s="270"/>
      <c r="D234" s="270"/>
      <c r="E234" s="270"/>
      <c r="F234" s="270"/>
      <c r="G234" s="270"/>
      <c r="H234" s="270"/>
      <c r="I234" s="270"/>
      <c r="J234" s="270"/>
      <c r="K234" s="270"/>
      <c r="L234" s="270"/>
      <c r="M234" s="270"/>
      <c r="N234" s="270"/>
      <c r="O234" s="270"/>
      <c r="P234" s="270"/>
      <c r="Q234" s="270"/>
      <c r="R234" s="270"/>
      <c r="S234" s="270"/>
      <c r="T234" s="270"/>
      <c r="U234" s="270"/>
      <c r="V234" s="271"/>
      <c r="W234" s="271"/>
    </row>
    <row r="235" spans="1:23" s="99" customFormat="1" ht="13.5" thickBot="1">
      <c r="A235" s="437" t="s">
        <v>971</v>
      </c>
      <c r="B235" s="437"/>
      <c r="C235" s="437"/>
      <c r="D235" s="437"/>
      <c r="E235" s="437"/>
      <c r="F235" s="437"/>
      <c r="G235" s="437"/>
      <c r="H235" s="437"/>
      <c r="I235" s="437"/>
      <c r="J235" s="437"/>
      <c r="K235" s="437"/>
      <c r="L235" s="437"/>
      <c r="M235" s="437"/>
      <c r="N235" s="437"/>
      <c r="O235" s="437"/>
      <c r="P235" s="437"/>
      <c r="Q235" s="437"/>
      <c r="R235" s="437"/>
      <c r="S235" s="437"/>
      <c r="T235" s="437"/>
      <c r="U235" s="437"/>
      <c r="V235" s="437"/>
      <c r="W235" s="437"/>
    </row>
    <row r="236" spans="1:23" ht="13.5" customHeight="1">
      <c r="A236" s="272" t="s">
        <v>14</v>
      </c>
      <c r="B236" s="257">
        <v>2013</v>
      </c>
      <c r="C236" s="257">
        <v>2014</v>
      </c>
      <c r="D236" s="257">
        <v>2015</v>
      </c>
      <c r="E236" s="257">
        <v>2016</v>
      </c>
      <c r="F236" s="257">
        <v>2017</v>
      </c>
      <c r="G236" s="257">
        <v>2018</v>
      </c>
      <c r="H236" s="257">
        <v>2019</v>
      </c>
      <c r="I236" s="257">
        <v>2020</v>
      </c>
      <c r="J236" s="257">
        <v>2021</v>
      </c>
      <c r="K236" s="257">
        <v>2022</v>
      </c>
      <c r="L236" s="257">
        <v>2023</v>
      </c>
      <c r="M236" s="257">
        <v>2024</v>
      </c>
      <c r="N236" s="257">
        <v>2025</v>
      </c>
      <c r="O236" s="257">
        <v>2026</v>
      </c>
      <c r="P236" s="257">
        <v>2027</v>
      </c>
      <c r="Q236" s="257">
        <v>2028</v>
      </c>
      <c r="R236" s="257">
        <v>2029</v>
      </c>
      <c r="S236" s="257">
        <v>2030</v>
      </c>
      <c r="T236" s="257">
        <v>2031</v>
      </c>
      <c r="U236" s="257">
        <v>2032</v>
      </c>
      <c r="V236" s="402" t="s">
        <v>15</v>
      </c>
      <c r="W236" s="404" t="s">
        <v>1055</v>
      </c>
    </row>
    <row r="237" spans="1:23" ht="13.5" customHeight="1" thickBot="1">
      <c r="A237" s="273" t="s">
        <v>1052</v>
      </c>
      <c r="B237" s="259">
        <v>1</v>
      </c>
      <c r="C237" s="259">
        <v>2</v>
      </c>
      <c r="D237" s="259">
        <v>3</v>
      </c>
      <c r="E237" s="259">
        <v>4</v>
      </c>
      <c r="F237" s="259">
        <v>5</v>
      </c>
      <c r="G237" s="259">
        <v>6</v>
      </c>
      <c r="H237" s="259">
        <v>7</v>
      </c>
      <c r="I237" s="259">
        <v>8</v>
      </c>
      <c r="J237" s="259">
        <v>9</v>
      </c>
      <c r="K237" s="259">
        <v>10</v>
      </c>
      <c r="L237" s="259">
        <v>11</v>
      </c>
      <c r="M237" s="259">
        <v>12</v>
      </c>
      <c r="N237" s="259">
        <v>13</v>
      </c>
      <c r="O237" s="259">
        <v>14</v>
      </c>
      <c r="P237" s="259">
        <v>15</v>
      </c>
      <c r="Q237" s="259">
        <v>16</v>
      </c>
      <c r="R237" s="259">
        <v>17</v>
      </c>
      <c r="S237" s="259">
        <v>18</v>
      </c>
      <c r="T237" s="259">
        <v>19</v>
      </c>
      <c r="U237" s="259">
        <v>20</v>
      </c>
      <c r="V237" s="403"/>
      <c r="W237" s="405"/>
    </row>
    <row r="238" spans="1:23" ht="17.25" customHeight="1">
      <c r="A238" s="274" t="s">
        <v>1053</v>
      </c>
      <c r="B238" s="188"/>
      <c r="C238" s="188"/>
      <c r="D238" s="188"/>
      <c r="E238" s="188"/>
      <c r="F238" s="188"/>
      <c r="G238" s="188"/>
      <c r="H238" s="188"/>
      <c r="I238" s="188"/>
      <c r="J238" s="188"/>
      <c r="K238" s="188"/>
      <c r="L238" s="188"/>
      <c r="M238" s="188"/>
      <c r="N238" s="188"/>
      <c r="O238" s="188"/>
      <c r="P238" s="188"/>
      <c r="Q238" s="188"/>
      <c r="R238" s="188"/>
      <c r="S238" s="188"/>
      <c r="T238" s="188"/>
      <c r="U238" s="188"/>
      <c r="V238" s="287"/>
      <c r="W238" s="130"/>
    </row>
    <row r="239" spans="1:23" ht="17.25" customHeight="1">
      <c r="A239" s="263"/>
      <c r="B239" s="100"/>
      <c r="C239" s="100"/>
      <c r="D239" s="100"/>
      <c r="E239" s="100"/>
      <c r="F239" s="100"/>
      <c r="G239" s="100"/>
      <c r="H239" s="100"/>
      <c r="I239" s="100"/>
      <c r="J239" s="100"/>
      <c r="K239" s="100"/>
      <c r="L239" s="100"/>
      <c r="M239" s="100"/>
      <c r="N239" s="100"/>
      <c r="O239" s="100"/>
      <c r="P239" s="100"/>
      <c r="Q239" s="100"/>
      <c r="R239" s="100"/>
      <c r="S239" s="100"/>
      <c r="T239" s="100"/>
      <c r="U239" s="100"/>
      <c r="V239" s="179"/>
      <c r="W239" s="140"/>
    </row>
    <row r="240" spans="1:23">
      <c r="A240" s="197" t="s">
        <v>17</v>
      </c>
      <c r="B240" s="52"/>
      <c r="C240" s="52"/>
      <c r="D240" s="52"/>
      <c r="E240" s="52"/>
      <c r="F240" s="52"/>
      <c r="G240" s="52"/>
      <c r="H240" s="52"/>
      <c r="I240" s="52"/>
      <c r="J240" s="52"/>
      <c r="K240" s="52"/>
      <c r="L240" s="52"/>
      <c r="M240" s="52"/>
      <c r="N240" s="52"/>
      <c r="O240" s="52"/>
      <c r="P240" s="52"/>
      <c r="Q240" s="52"/>
      <c r="R240" s="52"/>
      <c r="S240" s="52"/>
      <c r="T240" s="52"/>
      <c r="U240" s="52"/>
      <c r="V240" s="180"/>
      <c r="W240" s="161"/>
    </row>
    <row r="241" spans="1:23" ht="51">
      <c r="A241" s="200" t="s">
        <v>1351</v>
      </c>
      <c r="B241" s="52">
        <f>B$65*0.75</f>
        <v>2.0250000000000001E-2</v>
      </c>
      <c r="C241" s="52">
        <f t="shared" ref="C241:U241" si="102">C$65*0.75</f>
        <v>0</v>
      </c>
      <c r="D241" s="52">
        <f t="shared" si="102"/>
        <v>0</v>
      </c>
      <c r="E241" s="52">
        <f t="shared" si="102"/>
        <v>2.5312500000000002E-2</v>
      </c>
      <c r="F241" s="52">
        <f t="shared" si="102"/>
        <v>0</v>
      </c>
      <c r="G241" s="52">
        <f t="shared" si="102"/>
        <v>0</v>
      </c>
      <c r="H241" s="52">
        <f t="shared" si="102"/>
        <v>1.51875E-2</v>
      </c>
      <c r="I241" s="52">
        <f t="shared" si="102"/>
        <v>0</v>
      </c>
      <c r="J241" s="52">
        <f t="shared" si="102"/>
        <v>1.0125E-2</v>
      </c>
      <c r="K241" s="52">
        <f t="shared" si="102"/>
        <v>1.51875E-2</v>
      </c>
      <c r="L241" s="52">
        <f t="shared" si="102"/>
        <v>0</v>
      </c>
      <c r="M241" s="52">
        <f t="shared" si="102"/>
        <v>0</v>
      </c>
      <c r="N241" s="52">
        <f t="shared" si="102"/>
        <v>1.51875E-2</v>
      </c>
      <c r="O241" s="52">
        <f t="shared" si="102"/>
        <v>1.0125E-2</v>
      </c>
      <c r="P241" s="52">
        <f t="shared" si="102"/>
        <v>0</v>
      </c>
      <c r="Q241" s="52">
        <f t="shared" si="102"/>
        <v>1.51875E-2</v>
      </c>
      <c r="R241" s="52">
        <f t="shared" si="102"/>
        <v>0</v>
      </c>
      <c r="S241" s="52">
        <f t="shared" si="102"/>
        <v>0</v>
      </c>
      <c r="T241" s="52">
        <f t="shared" si="102"/>
        <v>1.51875E-2</v>
      </c>
      <c r="U241" s="52">
        <f t="shared" si="102"/>
        <v>0</v>
      </c>
      <c r="V241" s="180">
        <f t="shared" ref="V241" si="103">SUM(B241:U241)</f>
        <v>0.14174999999999999</v>
      </c>
      <c r="W241" s="161">
        <f t="shared" ref="W241" si="104">V241/20</f>
        <v>7.0874999999999992E-3</v>
      </c>
    </row>
    <row r="242" spans="1:23" ht="38.25">
      <c r="A242" s="200" t="s">
        <v>1352</v>
      </c>
      <c r="B242" s="52">
        <f>'Scenario 2 Assumptions'!D391*'Scenario 2 Assumptions'!E391</f>
        <v>9.2817999999999998E-2</v>
      </c>
      <c r="C242" s="52">
        <v>0</v>
      </c>
      <c r="D242" s="52">
        <v>0</v>
      </c>
      <c r="E242" s="52">
        <v>0</v>
      </c>
      <c r="F242" s="52">
        <v>0</v>
      </c>
      <c r="G242" s="52">
        <v>0</v>
      </c>
      <c r="H242" s="52">
        <v>0</v>
      </c>
      <c r="I242" s="52">
        <v>0</v>
      </c>
      <c r="J242" s="52">
        <v>0</v>
      </c>
      <c r="K242" s="52">
        <v>0</v>
      </c>
      <c r="L242" s="52">
        <v>0</v>
      </c>
      <c r="M242" s="52">
        <v>0</v>
      </c>
      <c r="N242" s="52">
        <v>0</v>
      </c>
      <c r="O242" s="52">
        <v>0</v>
      </c>
      <c r="P242" s="52">
        <v>0</v>
      </c>
      <c r="Q242" s="52">
        <v>0</v>
      </c>
      <c r="R242" s="52">
        <v>0</v>
      </c>
      <c r="S242" s="52">
        <v>0</v>
      </c>
      <c r="T242" s="52">
        <v>0</v>
      </c>
      <c r="U242" s="52">
        <v>0</v>
      </c>
      <c r="V242" s="180">
        <f t="shared" ref="V242" si="105">SUM(B242:U242)</f>
        <v>9.2817999999999998E-2</v>
      </c>
      <c r="W242" s="161">
        <f t="shared" ref="W242" si="106">V242/20</f>
        <v>4.6408999999999999E-3</v>
      </c>
    </row>
    <row r="243" spans="1:23" ht="25.5">
      <c r="A243" s="377" t="s">
        <v>1350</v>
      </c>
      <c r="B243" s="52">
        <f>B$66</f>
        <v>0.10732500000000031</v>
      </c>
      <c r="C243" s="52">
        <f t="shared" ref="C243:U243" si="107">C$66</f>
        <v>0.11407499999999998</v>
      </c>
      <c r="D243" s="52">
        <f t="shared" si="107"/>
        <v>0.10732499999999995</v>
      </c>
      <c r="E243" s="52">
        <f t="shared" si="107"/>
        <v>0.10732499999999995</v>
      </c>
      <c r="F243" s="52">
        <f t="shared" si="107"/>
        <v>0.11407499999999998</v>
      </c>
      <c r="G243" s="52">
        <f t="shared" si="107"/>
        <v>0.10732499999999995</v>
      </c>
      <c r="H243" s="52">
        <f t="shared" si="107"/>
        <v>0.10732499999999999</v>
      </c>
      <c r="I243" s="52">
        <f t="shared" si="107"/>
        <v>0.10732499999999995</v>
      </c>
      <c r="J243" s="52">
        <f t="shared" si="107"/>
        <v>0.10732499999999996</v>
      </c>
      <c r="K243" s="52">
        <f t="shared" si="107"/>
        <v>0.10732499999999999</v>
      </c>
      <c r="L243" s="52">
        <f t="shared" si="107"/>
        <v>0.10732499999999995</v>
      </c>
      <c r="M243" s="52">
        <f t="shared" si="107"/>
        <v>0.10732499999999995</v>
      </c>
      <c r="N243" s="52">
        <f t="shared" si="107"/>
        <v>0.10732499999999999</v>
      </c>
      <c r="O243" s="52">
        <f t="shared" si="107"/>
        <v>0.10732499999999996</v>
      </c>
      <c r="P243" s="52">
        <f t="shared" si="107"/>
        <v>0.10732499999999995</v>
      </c>
      <c r="Q243" s="52">
        <f t="shared" si="107"/>
        <v>0.10057499999999996</v>
      </c>
      <c r="R243" s="52">
        <f t="shared" si="107"/>
        <v>0.10732499999999995</v>
      </c>
      <c r="S243" s="52">
        <f t="shared" si="107"/>
        <v>0.10732499999999995</v>
      </c>
      <c r="T243" s="52">
        <f t="shared" si="107"/>
        <v>0.11407499999999997</v>
      </c>
      <c r="U243" s="52">
        <f t="shared" si="107"/>
        <v>0.10732499999999995</v>
      </c>
      <c r="V243" s="180">
        <f t="shared" ref="V243" si="108">SUM(B243:U243)</f>
        <v>2.1599999999999993</v>
      </c>
      <c r="W243" s="161">
        <f t="shared" ref="W243" si="109">V243/20</f>
        <v>0.10799999999999996</v>
      </c>
    </row>
    <row r="244" spans="1:23">
      <c r="A244" s="131" t="s">
        <v>1339</v>
      </c>
      <c r="B244" s="52">
        <f>B$22</f>
        <v>24</v>
      </c>
      <c r="C244" s="52">
        <f t="shared" ref="C244:U244" si="110">C$22</f>
        <v>0</v>
      </c>
      <c r="D244" s="52">
        <f t="shared" si="110"/>
        <v>0</v>
      </c>
      <c r="E244" s="52">
        <f t="shared" si="110"/>
        <v>0</v>
      </c>
      <c r="F244" s="52">
        <f t="shared" si="110"/>
        <v>0</v>
      </c>
      <c r="G244" s="52">
        <f t="shared" si="110"/>
        <v>0</v>
      </c>
      <c r="H244" s="52">
        <f t="shared" si="110"/>
        <v>0</v>
      </c>
      <c r="I244" s="52">
        <f t="shared" si="110"/>
        <v>0</v>
      </c>
      <c r="J244" s="52">
        <f t="shared" si="110"/>
        <v>0</v>
      </c>
      <c r="K244" s="52">
        <f t="shared" si="110"/>
        <v>0</v>
      </c>
      <c r="L244" s="52">
        <f t="shared" si="110"/>
        <v>0</v>
      </c>
      <c r="M244" s="52">
        <f t="shared" si="110"/>
        <v>0</v>
      </c>
      <c r="N244" s="52">
        <f t="shared" si="110"/>
        <v>0</v>
      </c>
      <c r="O244" s="52">
        <f t="shared" si="110"/>
        <v>0</v>
      </c>
      <c r="P244" s="52">
        <f t="shared" si="110"/>
        <v>0</v>
      </c>
      <c r="Q244" s="52">
        <f t="shared" si="110"/>
        <v>0</v>
      </c>
      <c r="R244" s="52">
        <f t="shared" si="110"/>
        <v>0</v>
      </c>
      <c r="S244" s="52">
        <f t="shared" si="110"/>
        <v>0</v>
      </c>
      <c r="T244" s="52">
        <f t="shared" si="110"/>
        <v>0</v>
      </c>
      <c r="U244" s="52">
        <f t="shared" si="110"/>
        <v>0</v>
      </c>
      <c r="V244" s="180">
        <f t="shared" ref="V244:V251" si="111">SUM(B244:U244)</f>
        <v>24</v>
      </c>
      <c r="W244" s="161">
        <f t="shared" ref="W244:W251" si="112">V244/20</f>
        <v>1.2</v>
      </c>
    </row>
    <row r="245" spans="1:23">
      <c r="A245" s="100"/>
      <c r="B245" s="52"/>
      <c r="C245" s="52"/>
      <c r="D245" s="52"/>
      <c r="E245" s="52"/>
      <c r="F245" s="52"/>
      <c r="G245" s="52"/>
      <c r="H245" s="52"/>
      <c r="I245" s="52"/>
      <c r="J245" s="52"/>
      <c r="K245" s="52"/>
      <c r="L245" s="52"/>
      <c r="M245" s="52"/>
      <c r="N245" s="52"/>
      <c r="O245" s="52"/>
      <c r="P245" s="52"/>
      <c r="Q245" s="52"/>
      <c r="R245" s="52"/>
      <c r="S245" s="52"/>
      <c r="T245" s="52"/>
      <c r="U245" s="52"/>
      <c r="V245" s="180"/>
      <c r="W245" s="161"/>
    </row>
    <row r="246" spans="1:23">
      <c r="A246" s="197" t="s">
        <v>18</v>
      </c>
      <c r="B246" s="52"/>
      <c r="C246" s="52"/>
      <c r="D246" s="52"/>
      <c r="E246" s="52"/>
      <c r="F246" s="52"/>
      <c r="G246" s="52"/>
      <c r="H246" s="52"/>
      <c r="I246" s="52"/>
      <c r="J246" s="52"/>
      <c r="K246" s="52"/>
      <c r="L246" s="52"/>
      <c r="M246" s="52"/>
      <c r="N246" s="52"/>
      <c r="O246" s="52"/>
      <c r="P246" s="52"/>
      <c r="Q246" s="52"/>
      <c r="R246" s="52"/>
      <c r="S246" s="52"/>
      <c r="T246" s="52"/>
      <c r="U246" s="52"/>
      <c r="V246" s="180"/>
      <c r="W246" s="161"/>
    </row>
    <row r="247" spans="1:23">
      <c r="A247" s="131" t="s">
        <v>1339</v>
      </c>
      <c r="B247" s="52">
        <f t="shared" ref="B247:U247" si="113">B$50+B$53</f>
        <v>3.6890840517241383E-2</v>
      </c>
      <c r="C247" s="52">
        <f t="shared" si="113"/>
        <v>3.6890840517241383E-2</v>
      </c>
      <c r="D247" s="52">
        <f t="shared" si="113"/>
        <v>3.6890840517241383E-2</v>
      </c>
      <c r="E247" s="52">
        <f t="shared" si="113"/>
        <v>3.6890840517241383E-2</v>
      </c>
      <c r="F247" s="52">
        <f t="shared" si="113"/>
        <v>3.6890840517241383E-2</v>
      </c>
      <c r="G247" s="52">
        <f t="shared" si="113"/>
        <v>3.6890840517241383E-2</v>
      </c>
      <c r="H247" s="52">
        <f t="shared" si="113"/>
        <v>3.6890840517241383E-2</v>
      </c>
      <c r="I247" s="52">
        <f t="shared" si="113"/>
        <v>3.6890840517241383E-2</v>
      </c>
      <c r="J247" s="52">
        <f t="shared" si="113"/>
        <v>3.6890840517241383E-2</v>
      </c>
      <c r="K247" s="52">
        <f t="shared" si="113"/>
        <v>3.6890840517241383E-2</v>
      </c>
      <c r="L247" s="52">
        <f t="shared" si="113"/>
        <v>3.6890840517241383E-2</v>
      </c>
      <c r="M247" s="52">
        <f t="shared" si="113"/>
        <v>3.6890840517241383E-2</v>
      </c>
      <c r="N247" s="52">
        <f t="shared" si="113"/>
        <v>3.6890840517241383E-2</v>
      </c>
      <c r="O247" s="52">
        <f t="shared" si="113"/>
        <v>3.6890840517241383E-2</v>
      </c>
      <c r="P247" s="52">
        <f t="shared" si="113"/>
        <v>3.6890840517241383E-2</v>
      </c>
      <c r="Q247" s="52">
        <f t="shared" si="113"/>
        <v>3.6890840517241383E-2</v>
      </c>
      <c r="R247" s="52">
        <f t="shared" si="113"/>
        <v>3.6890840517241383E-2</v>
      </c>
      <c r="S247" s="52">
        <f t="shared" si="113"/>
        <v>3.6890840517241383E-2</v>
      </c>
      <c r="T247" s="52">
        <f t="shared" si="113"/>
        <v>3.6890840517241383E-2</v>
      </c>
      <c r="U247" s="52">
        <f t="shared" si="113"/>
        <v>3.6890840517241383E-2</v>
      </c>
      <c r="V247" s="180">
        <f t="shared" ref="V247" si="114">SUM(B247:U247)</f>
        <v>0.73781681034482749</v>
      </c>
      <c r="W247" s="161">
        <f t="shared" ref="W247" si="115">V247/20</f>
        <v>3.6890840517241376E-2</v>
      </c>
    </row>
    <row r="248" spans="1:23">
      <c r="V248" s="180"/>
      <c r="W248" s="161"/>
    </row>
    <row r="249" spans="1:23">
      <c r="A249" s="197" t="s">
        <v>1340</v>
      </c>
      <c r="V249" s="180"/>
      <c r="W249" s="161"/>
    </row>
    <row r="250" spans="1:23">
      <c r="A250" s="276" t="s">
        <v>975</v>
      </c>
      <c r="B250" s="116">
        <f>SUM(B247)</f>
        <v>3.6890840517241383E-2</v>
      </c>
      <c r="C250" s="116">
        <f t="shared" ref="C250:U250" si="116">SUM(C247)</f>
        <v>3.6890840517241383E-2</v>
      </c>
      <c r="D250" s="116">
        <f t="shared" si="116"/>
        <v>3.6890840517241383E-2</v>
      </c>
      <c r="E250" s="116">
        <f t="shared" si="116"/>
        <v>3.6890840517241383E-2</v>
      </c>
      <c r="F250" s="116">
        <f t="shared" si="116"/>
        <v>3.6890840517241383E-2</v>
      </c>
      <c r="G250" s="116">
        <f t="shared" si="116"/>
        <v>3.6890840517241383E-2</v>
      </c>
      <c r="H250" s="116">
        <f t="shared" si="116"/>
        <v>3.6890840517241383E-2</v>
      </c>
      <c r="I250" s="116">
        <f t="shared" si="116"/>
        <v>3.6890840517241383E-2</v>
      </c>
      <c r="J250" s="116">
        <f t="shared" si="116"/>
        <v>3.6890840517241383E-2</v>
      </c>
      <c r="K250" s="116">
        <f t="shared" si="116"/>
        <v>3.6890840517241383E-2</v>
      </c>
      <c r="L250" s="116">
        <f t="shared" si="116"/>
        <v>3.6890840517241383E-2</v>
      </c>
      <c r="M250" s="116">
        <f t="shared" si="116"/>
        <v>3.6890840517241383E-2</v>
      </c>
      <c r="N250" s="116">
        <f t="shared" si="116"/>
        <v>3.6890840517241383E-2</v>
      </c>
      <c r="O250" s="116">
        <f t="shared" si="116"/>
        <v>3.6890840517241383E-2</v>
      </c>
      <c r="P250" s="116">
        <f t="shared" si="116"/>
        <v>3.6890840517241383E-2</v>
      </c>
      <c r="Q250" s="116">
        <f t="shared" si="116"/>
        <v>3.6890840517241383E-2</v>
      </c>
      <c r="R250" s="116">
        <f t="shared" si="116"/>
        <v>3.6890840517241383E-2</v>
      </c>
      <c r="S250" s="116">
        <f t="shared" si="116"/>
        <v>3.6890840517241383E-2</v>
      </c>
      <c r="T250" s="116">
        <f t="shared" si="116"/>
        <v>3.6890840517241383E-2</v>
      </c>
      <c r="U250" s="116">
        <f t="shared" si="116"/>
        <v>3.6890840517241383E-2</v>
      </c>
      <c r="V250" s="180">
        <f t="shared" si="111"/>
        <v>0.73781681034482749</v>
      </c>
      <c r="W250" s="161">
        <f t="shared" si="112"/>
        <v>3.6890840517241376E-2</v>
      </c>
    </row>
    <row r="251" spans="1:23">
      <c r="A251" s="276" t="s">
        <v>976</v>
      </c>
      <c r="B251" s="52">
        <f>SUM(B241:B244)</f>
        <v>24.220393000000001</v>
      </c>
      <c r="C251" s="52">
        <f t="shared" ref="C251:U251" si="117">SUM(C241:C244)</f>
        <v>0.11407499999999998</v>
      </c>
      <c r="D251" s="52">
        <f t="shared" si="117"/>
        <v>0.10732499999999995</v>
      </c>
      <c r="E251" s="52">
        <f t="shared" si="117"/>
        <v>0.13263749999999996</v>
      </c>
      <c r="F251" s="52">
        <f t="shared" si="117"/>
        <v>0.11407499999999998</v>
      </c>
      <c r="G251" s="52">
        <f t="shared" si="117"/>
        <v>0.10732499999999995</v>
      </c>
      <c r="H251" s="52">
        <f t="shared" si="117"/>
        <v>0.1225125</v>
      </c>
      <c r="I251" s="52">
        <f t="shared" si="117"/>
        <v>0.10732499999999995</v>
      </c>
      <c r="J251" s="52">
        <f t="shared" si="117"/>
        <v>0.11744999999999996</v>
      </c>
      <c r="K251" s="52">
        <f t="shared" si="117"/>
        <v>0.1225125</v>
      </c>
      <c r="L251" s="52">
        <f t="shared" si="117"/>
        <v>0.10732499999999995</v>
      </c>
      <c r="M251" s="52">
        <f t="shared" si="117"/>
        <v>0.10732499999999995</v>
      </c>
      <c r="N251" s="52">
        <f t="shared" si="117"/>
        <v>0.1225125</v>
      </c>
      <c r="O251" s="52">
        <f t="shared" si="117"/>
        <v>0.11744999999999996</v>
      </c>
      <c r="P251" s="52">
        <f t="shared" si="117"/>
        <v>0.10732499999999995</v>
      </c>
      <c r="Q251" s="52">
        <f t="shared" si="117"/>
        <v>0.11576249999999996</v>
      </c>
      <c r="R251" s="52">
        <f t="shared" si="117"/>
        <v>0.10732499999999995</v>
      </c>
      <c r="S251" s="52">
        <f t="shared" si="117"/>
        <v>0.10732499999999995</v>
      </c>
      <c r="T251" s="52">
        <f t="shared" si="117"/>
        <v>0.12926249999999997</v>
      </c>
      <c r="U251" s="52">
        <f t="shared" si="117"/>
        <v>0.10732499999999995</v>
      </c>
      <c r="V251" s="180">
        <f t="shared" si="111"/>
        <v>26.394567999999996</v>
      </c>
      <c r="W251" s="161">
        <f t="shared" si="112"/>
        <v>1.3197283999999998</v>
      </c>
    </row>
    <row r="252" spans="1:23">
      <c r="A252" s="276" t="s">
        <v>1368</v>
      </c>
      <c r="B252" s="52">
        <f>SUM(B241:B243)</f>
        <v>0.22039300000000031</v>
      </c>
      <c r="C252" s="52">
        <f t="shared" ref="C252:U252" si="118">SUM(C241:C243)</f>
        <v>0.11407499999999998</v>
      </c>
      <c r="D252" s="52">
        <f t="shared" si="118"/>
        <v>0.10732499999999995</v>
      </c>
      <c r="E252" s="52">
        <f t="shared" si="118"/>
        <v>0.13263749999999996</v>
      </c>
      <c r="F252" s="52">
        <f t="shared" si="118"/>
        <v>0.11407499999999998</v>
      </c>
      <c r="G252" s="52">
        <f t="shared" si="118"/>
        <v>0.10732499999999995</v>
      </c>
      <c r="H252" s="52">
        <f t="shared" si="118"/>
        <v>0.1225125</v>
      </c>
      <c r="I252" s="52">
        <f t="shared" si="118"/>
        <v>0.10732499999999995</v>
      </c>
      <c r="J252" s="52">
        <f t="shared" si="118"/>
        <v>0.11744999999999996</v>
      </c>
      <c r="K252" s="52">
        <f t="shared" si="118"/>
        <v>0.1225125</v>
      </c>
      <c r="L252" s="52">
        <f t="shared" si="118"/>
        <v>0.10732499999999995</v>
      </c>
      <c r="M252" s="52">
        <f t="shared" si="118"/>
        <v>0.10732499999999995</v>
      </c>
      <c r="N252" s="52">
        <f t="shared" si="118"/>
        <v>0.1225125</v>
      </c>
      <c r="O252" s="52">
        <f t="shared" si="118"/>
        <v>0.11744999999999996</v>
      </c>
      <c r="P252" s="52">
        <f t="shared" si="118"/>
        <v>0.10732499999999995</v>
      </c>
      <c r="Q252" s="52">
        <f t="shared" si="118"/>
        <v>0.11576249999999996</v>
      </c>
      <c r="R252" s="52">
        <f t="shared" si="118"/>
        <v>0.10732499999999995</v>
      </c>
      <c r="S252" s="52">
        <f t="shared" si="118"/>
        <v>0.10732499999999995</v>
      </c>
      <c r="T252" s="52">
        <f t="shared" si="118"/>
        <v>0.12926249999999997</v>
      </c>
      <c r="U252" s="52">
        <f t="shared" si="118"/>
        <v>0.10732499999999995</v>
      </c>
      <c r="V252" s="180">
        <f t="shared" ref="V252:V253" si="119">SUM(B252:U252)</f>
        <v>2.3945679999999996</v>
      </c>
      <c r="W252" s="161">
        <f t="shared" ref="W252:W253" si="120">V252/20</f>
        <v>0.11972839999999998</v>
      </c>
    </row>
    <row r="253" spans="1:23">
      <c r="A253" s="276" t="s">
        <v>1367</v>
      </c>
      <c r="B253" s="52">
        <f>B244</f>
        <v>24</v>
      </c>
      <c r="C253" s="52">
        <f t="shared" ref="C253:U253" si="121">C244</f>
        <v>0</v>
      </c>
      <c r="D253" s="52">
        <f t="shared" si="121"/>
        <v>0</v>
      </c>
      <c r="E253" s="52">
        <f t="shared" si="121"/>
        <v>0</v>
      </c>
      <c r="F253" s="52">
        <f t="shared" si="121"/>
        <v>0</v>
      </c>
      <c r="G253" s="52">
        <f t="shared" si="121"/>
        <v>0</v>
      </c>
      <c r="H253" s="52">
        <f t="shared" si="121"/>
        <v>0</v>
      </c>
      <c r="I253" s="52">
        <f t="shared" si="121"/>
        <v>0</v>
      </c>
      <c r="J253" s="52">
        <f t="shared" si="121"/>
        <v>0</v>
      </c>
      <c r="K253" s="52">
        <f t="shared" si="121"/>
        <v>0</v>
      </c>
      <c r="L253" s="52">
        <f t="shared" si="121"/>
        <v>0</v>
      </c>
      <c r="M253" s="52">
        <f t="shared" si="121"/>
        <v>0</v>
      </c>
      <c r="N253" s="52">
        <f t="shared" si="121"/>
        <v>0</v>
      </c>
      <c r="O253" s="52">
        <f t="shared" si="121"/>
        <v>0</v>
      </c>
      <c r="P253" s="52">
        <f t="shared" si="121"/>
        <v>0</v>
      </c>
      <c r="Q253" s="52">
        <f t="shared" si="121"/>
        <v>0</v>
      </c>
      <c r="R253" s="52">
        <f t="shared" si="121"/>
        <v>0</v>
      </c>
      <c r="S253" s="52">
        <f t="shared" si="121"/>
        <v>0</v>
      </c>
      <c r="T253" s="52">
        <f t="shared" si="121"/>
        <v>0</v>
      </c>
      <c r="U253" s="52">
        <f t="shared" si="121"/>
        <v>0</v>
      </c>
      <c r="V253" s="180">
        <f t="shared" si="119"/>
        <v>24</v>
      </c>
      <c r="W253" s="161">
        <f t="shared" si="120"/>
        <v>1.2</v>
      </c>
    </row>
    <row r="254" spans="1:23">
      <c r="A254" s="268" t="s">
        <v>907</v>
      </c>
      <c r="B254" s="34">
        <f>SUM(B250:B251)</f>
        <v>24.257283840517243</v>
      </c>
      <c r="C254" s="34">
        <f t="shared" ref="C254:U254" si="122">SUM(C250:C251)</f>
        <v>0.15096584051724138</v>
      </c>
      <c r="D254" s="34">
        <f t="shared" si="122"/>
        <v>0.14421584051724134</v>
      </c>
      <c r="E254" s="34">
        <f t="shared" si="122"/>
        <v>0.16952834051724136</v>
      </c>
      <c r="F254" s="34">
        <f t="shared" si="122"/>
        <v>0.15096584051724138</v>
      </c>
      <c r="G254" s="34">
        <f t="shared" si="122"/>
        <v>0.14421584051724134</v>
      </c>
      <c r="H254" s="34">
        <f t="shared" si="122"/>
        <v>0.15940334051724137</v>
      </c>
      <c r="I254" s="34">
        <f t="shared" si="122"/>
        <v>0.14421584051724134</v>
      </c>
      <c r="J254" s="34">
        <f t="shared" si="122"/>
        <v>0.15434084051724134</v>
      </c>
      <c r="K254" s="34">
        <f t="shared" si="122"/>
        <v>0.15940334051724137</v>
      </c>
      <c r="L254" s="34">
        <f t="shared" si="122"/>
        <v>0.14421584051724134</v>
      </c>
      <c r="M254" s="34">
        <f t="shared" si="122"/>
        <v>0.14421584051724134</v>
      </c>
      <c r="N254" s="34">
        <f t="shared" si="122"/>
        <v>0.15940334051724137</v>
      </c>
      <c r="O254" s="34">
        <f t="shared" si="122"/>
        <v>0.15434084051724134</v>
      </c>
      <c r="P254" s="34">
        <f t="shared" si="122"/>
        <v>0.14421584051724134</v>
      </c>
      <c r="Q254" s="34">
        <f t="shared" si="122"/>
        <v>0.15265334051724133</v>
      </c>
      <c r="R254" s="34">
        <f t="shared" si="122"/>
        <v>0.14421584051724134</v>
      </c>
      <c r="S254" s="34">
        <f t="shared" si="122"/>
        <v>0.14421584051724134</v>
      </c>
      <c r="T254" s="34">
        <f t="shared" si="122"/>
        <v>0.16615334051724134</v>
      </c>
      <c r="U254" s="34">
        <f t="shared" si="122"/>
        <v>0.14421584051724134</v>
      </c>
      <c r="V254" s="182">
        <f t="shared" ref="V254:V256" si="123">SUM(B254:U254)</f>
        <v>27.132384810344821</v>
      </c>
      <c r="W254" s="283">
        <f t="shared" ref="W254" si="124">V254/20</f>
        <v>1.356619240517241</v>
      </c>
    </row>
    <row r="255" spans="1:23">
      <c r="A255" s="269" t="s">
        <v>123</v>
      </c>
      <c r="B255" s="52">
        <v>0.96618357487922713</v>
      </c>
      <c r="C255" s="52">
        <v>0.93351070036640305</v>
      </c>
      <c r="D255" s="52">
        <v>0.90194270566802237</v>
      </c>
      <c r="E255" s="52">
        <v>0.87144222769857238</v>
      </c>
      <c r="F255" s="52">
        <v>0.84197316685852419</v>
      </c>
      <c r="G255" s="52">
        <v>0.81350064430775282</v>
      </c>
      <c r="H255" s="52">
        <v>0.78599096068381913</v>
      </c>
      <c r="I255" s="52">
        <v>0.75941155621625056</v>
      </c>
      <c r="J255" s="52">
        <v>0.73373097218961414</v>
      </c>
      <c r="K255" s="52">
        <v>0.70891881370977217</v>
      </c>
      <c r="L255" s="52">
        <v>0.68494571372924851</v>
      </c>
      <c r="M255" s="52">
        <v>0.66178329828912896</v>
      </c>
      <c r="N255" s="52">
        <v>0.63940415293635666</v>
      </c>
      <c r="O255" s="52">
        <v>0.61778179027667302</v>
      </c>
      <c r="P255" s="52">
        <v>0.59689061862480497</v>
      </c>
      <c r="Q255" s="52">
        <v>0.57670591171478747</v>
      </c>
      <c r="R255" s="52">
        <v>0.55720377943457733</v>
      </c>
      <c r="S255" s="52">
        <v>0.53836113955031628</v>
      </c>
      <c r="T255" s="52">
        <v>0.52015569038677911</v>
      </c>
      <c r="U255" s="52">
        <v>0.50256588443167061</v>
      </c>
      <c r="V255" s="179"/>
      <c r="W255" s="140"/>
    </row>
    <row r="256" spans="1:23" s="3" customFormat="1" ht="26.25" thickBot="1">
      <c r="A256" s="43" t="s">
        <v>1034</v>
      </c>
      <c r="B256" s="38">
        <f>B255*B254</f>
        <v>23.436989217891057</v>
      </c>
      <c r="C256" s="38">
        <f t="shared" ref="C256:U256" si="125">C255*C254</f>
        <v>0.14092822751265272</v>
      </c>
      <c r="D256" s="38">
        <f t="shared" si="125"/>
        <v>0.13007442539630867</v>
      </c>
      <c r="E256" s="38">
        <f t="shared" si="125"/>
        <v>0.14773415471838697</v>
      </c>
      <c r="F256" s="38">
        <f t="shared" si="125"/>
        <v>0.12710918682776062</v>
      </c>
      <c r="G256" s="38">
        <f t="shared" si="125"/>
        <v>0.11731967918015995</v>
      </c>
      <c r="H256" s="38">
        <f t="shared" si="125"/>
        <v>0.1252895847493565</v>
      </c>
      <c r="I256" s="38">
        <f t="shared" si="125"/>
        <v>0.10951917587823286</v>
      </c>
      <c r="J256" s="38">
        <f t="shared" si="125"/>
        <v>0.11324465496127768</v>
      </c>
      <c r="K256" s="38">
        <f t="shared" si="125"/>
        <v>0.1130040270608576</v>
      </c>
      <c r="L256" s="38">
        <f t="shared" si="125"/>
        <v>9.8780021814145344E-2</v>
      </c>
      <c r="M256" s="38">
        <f t="shared" si="125"/>
        <v>9.5439634603038975E-2</v>
      </c>
      <c r="N256" s="38">
        <f t="shared" si="125"/>
        <v>0.10192315791865234</v>
      </c>
      <c r="O256" s="38">
        <f t="shared" si="125"/>
        <v>9.5348960767547827E-2</v>
      </c>
      <c r="P256" s="38">
        <f t="shared" si="125"/>
        <v>8.6081082261832406E-2</v>
      </c>
      <c r="Q256" s="38">
        <f t="shared" si="125"/>
        <v>8.8036083919303565E-2</v>
      </c>
      <c r="R256" s="38">
        <f t="shared" si="125"/>
        <v>8.0357611390541123E-2</v>
      </c>
      <c r="S256" s="38">
        <f t="shared" si="125"/>
        <v>7.7640204242068731E-2</v>
      </c>
      <c r="T256" s="38">
        <f t="shared" si="125"/>
        <v>8.6425605546815276E-2</v>
      </c>
      <c r="U256" s="38">
        <f t="shared" si="125"/>
        <v>7.2477961438604147E-2</v>
      </c>
      <c r="V256" s="378">
        <f t="shared" si="123"/>
        <v>25.443722658078599</v>
      </c>
      <c r="W256" s="146"/>
    </row>
    <row r="257" spans="1:23" ht="17.25" customHeight="1" thickBot="1">
      <c r="A257" s="4"/>
      <c r="B257" s="100"/>
      <c r="C257" s="100"/>
      <c r="D257" s="100"/>
      <c r="E257" s="100"/>
      <c r="F257" s="100"/>
      <c r="G257" s="100"/>
      <c r="H257" s="100"/>
      <c r="I257" s="100"/>
      <c r="J257" s="100"/>
      <c r="K257" s="100"/>
      <c r="L257" s="100"/>
      <c r="M257" s="100"/>
      <c r="N257" s="100"/>
      <c r="O257" s="100"/>
      <c r="P257" s="100"/>
      <c r="Q257" s="100"/>
      <c r="R257" s="100"/>
      <c r="S257" s="100"/>
      <c r="T257" s="100"/>
      <c r="U257" s="100"/>
      <c r="V257" s="100"/>
      <c r="W257" s="81"/>
    </row>
    <row r="258" spans="1:23" ht="17.25" customHeight="1">
      <c r="A258" s="274" t="s">
        <v>653</v>
      </c>
      <c r="B258" s="188"/>
      <c r="C258" s="188"/>
      <c r="D258" s="188"/>
      <c r="E258" s="188"/>
      <c r="F258" s="188"/>
      <c r="G258" s="188"/>
      <c r="H258" s="188"/>
      <c r="I258" s="188"/>
      <c r="J258" s="188"/>
      <c r="K258" s="188"/>
      <c r="L258" s="188"/>
      <c r="M258" s="188"/>
      <c r="N258" s="188"/>
      <c r="O258" s="188"/>
      <c r="P258" s="188"/>
      <c r="Q258" s="188"/>
      <c r="R258" s="188"/>
      <c r="S258" s="188"/>
      <c r="T258" s="188"/>
      <c r="U258" s="188"/>
      <c r="V258" s="178"/>
      <c r="W258" s="130"/>
    </row>
    <row r="259" spans="1:23" ht="17.25" customHeight="1">
      <c r="A259" s="263"/>
      <c r="B259" s="100"/>
      <c r="C259" s="100"/>
      <c r="D259" s="100"/>
      <c r="E259" s="100"/>
      <c r="F259" s="100"/>
      <c r="G259" s="100"/>
      <c r="H259" s="100"/>
      <c r="I259" s="100"/>
      <c r="J259" s="100"/>
      <c r="K259" s="100"/>
      <c r="L259" s="100"/>
      <c r="M259" s="100"/>
      <c r="N259" s="100"/>
      <c r="O259" s="100"/>
      <c r="P259" s="100"/>
      <c r="Q259" s="100"/>
      <c r="R259" s="100"/>
      <c r="S259" s="100"/>
      <c r="T259" s="100"/>
      <c r="U259" s="100"/>
      <c r="V259" s="179"/>
      <c r="W259" s="140"/>
    </row>
    <row r="260" spans="1:23">
      <c r="A260" s="197" t="s">
        <v>17</v>
      </c>
      <c r="B260" s="52"/>
      <c r="C260" s="52"/>
      <c r="D260" s="52"/>
      <c r="E260" s="52"/>
      <c r="F260" s="52"/>
      <c r="G260" s="52"/>
      <c r="H260" s="52"/>
      <c r="I260" s="52"/>
      <c r="J260" s="52"/>
      <c r="K260" s="52"/>
      <c r="L260" s="52"/>
      <c r="M260" s="52"/>
      <c r="N260" s="52"/>
      <c r="O260" s="52"/>
      <c r="P260" s="52"/>
      <c r="Q260" s="52"/>
      <c r="R260" s="52"/>
      <c r="S260" s="52"/>
      <c r="T260" s="52"/>
      <c r="U260" s="52"/>
      <c r="V260" s="180"/>
      <c r="W260" s="161"/>
    </row>
    <row r="261" spans="1:23" ht="51">
      <c r="A261" s="200" t="s">
        <v>1354</v>
      </c>
      <c r="B261" s="52">
        <f>B$133*0.5</f>
        <v>7.7625E-2</v>
      </c>
      <c r="C261" s="52">
        <f t="shared" ref="C261:U261" si="126">C$133*0.5</f>
        <v>0</v>
      </c>
      <c r="D261" s="52">
        <f t="shared" si="126"/>
        <v>0</v>
      </c>
      <c r="E261" s="52">
        <f t="shared" si="126"/>
        <v>7.7625E-2</v>
      </c>
      <c r="F261" s="52">
        <f t="shared" si="126"/>
        <v>0</v>
      </c>
      <c r="G261" s="52">
        <f t="shared" si="126"/>
        <v>0</v>
      </c>
      <c r="H261" s="52">
        <f t="shared" si="126"/>
        <v>7.7625E-2</v>
      </c>
      <c r="I261" s="52">
        <f t="shared" si="126"/>
        <v>0</v>
      </c>
      <c r="J261" s="52">
        <f t="shared" si="126"/>
        <v>0</v>
      </c>
      <c r="K261" s="52">
        <f t="shared" si="126"/>
        <v>7.7625E-2</v>
      </c>
      <c r="L261" s="52">
        <f t="shared" si="126"/>
        <v>0</v>
      </c>
      <c r="M261" s="52">
        <f t="shared" si="126"/>
        <v>0</v>
      </c>
      <c r="N261" s="52">
        <f t="shared" si="126"/>
        <v>7.7625E-2</v>
      </c>
      <c r="O261" s="52">
        <f t="shared" si="126"/>
        <v>0</v>
      </c>
      <c r="P261" s="52">
        <f t="shared" si="126"/>
        <v>0</v>
      </c>
      <c r="Q261" s="52">
        <f t="shared" si="126"/>
        <v>7.7625E-2</v>
      </c>
      <c r="R261" s="52">
        <f t="shared" si="126"/>
        <v>0</v>
      </c>
      <c r="S261" s="52">
        <f t="shared" si="126"/>
        <v>0</v>
      </c>
      <c r="T261" s="52">
        <f t="shared" si="126"/>
        <v>7.7625E-2</v>
      </c>
      <c r="U261" s="52">
        <f t="shared" si="126"/>
        <v>0</v>
      </c>
      <c r="V261" s="180">
        <f t="shared" ref="V261" si="127">SUM(B261:U261)</f>
        <v>0.54337499999999994</v>
      </c>
      <c r="W261" s="161">
        <f t="shared" ref="W261" si="128">V261/20</f>
        <v>2.7168749999999998E-2</v>
      </c>
    </row>
    <row r="262" spans="1:23" ht="38.25">
      <c r="A262" s="200" t="s">
        <v>1358</v>
      </c>
      <c r="B262" s="52">
        <f>'Scenario 2 Assumptions'!C397*'Scenario 2 Assumptions'!E397</f>
        <v>5.9065999999999994E-2</v>
      </c>
      <c r="C262" s="52">
        <v>0</v>
      </c>
      <c r="D262" s="52">
        <v>0</v>
      </c>
      <c r="E262" s="52">
        <v>0</v>
      </c>
      <c r="F262" s="52">
        <v>0</v>
      </c>
      <c r="G262" s="52">
        <v>0</v>
      </c>
      <c r="H262" s="52">
        <v>0</v>
      </c>
      <c r="I262" s="52">
        <v>0</v>
      </c>
      <c r="J262" s="52">
        <v>0</v>
      </c>
      <c r="K262" s="52">
        <v>0</v>
      </c>
      <c r="L262" s="52">
        <v>0</v>
      </c>
      <c r="M262" s="52">
        <v>0</v>
      </c>
      <c r="N262" s="52">
        <v>0</v>
      </c>
      <c r="O262" s="52">
        <v>0</v>
      </c>
      <c r="P262" s="52">
        <v>0</v>
      </c>
      <c r="Q262" s="52">
        <v>0</v>
      </c>
      <c r="R262" s="52">
        <v>0</v>
      </c>
      <c r="S262" s="52">
        <v>0</v>
      </c>
      <c r="T262" s="52">
        <v>0</v>
      </c>
      <c r="U262" s="52">
        <v>0</v>
      </c>
      <c r="V262" s="180">
        <f t="shared" ref="V262:V263" si="129">SUM(B262:U262)</f>
        <v>5.9065999999999994E-2</v>
      </c>
      <c r="W262" s="161">
        <f t="shared" ref="W262:W263" si="130">V262/20</f>
        <v>2.9532999999999998E-3</v>
      </c>
    </row>
    <row r="263" spans="1:23" ht="25.5">
      <c r="A263" s="377" t="s">
        <v>1350</v>
      </c>
      <c r="B263" s="52">
        <f>B$134</f>
        <v>0.45022499999999999</v>
      </c>
      <c r="C263" s="52">
        <f t="shared" ref="C263:U263" si="131">C$134</f>
        <v>0.45022499999999999</v>
      </c>
      <c r="D263" s="52">
        <f t="shared" si="131"/>
        <v>0.45022499999999999</v>
      </c>
      <c r="E263" s="52">
        <f t="shared" si="131"/>
        <v>0.45022499999999999</v>
      </c>
      <c r="F263" s="52">
        <f t="shared" si="131"/>
        <v>0.45022499999999999</v>
      </c>
      <c r="G263" s="52">
        <f t="shared" si="131"/>
        <v>0.45022499999999999</v>
      </c>
      <c r="H263" s="52">
        <f t="shared" si="131"/>
        <v>0.45022499999999999</v>
      </c>
      <c r="I263" s="52">
        <f t="shared" si="131"/>
        <v>0.45022499999999999</v>
      </c>
      <c r="J263" s="52">
        <f t="shared" si="131"/>
        <v>0.45022499999999999</v>
      </c>
      <c r="K263" s="52">
        <f t="shared" si="131"/>
        <v>0.45022499999999999</v>
      </c>
      <c r="L263" s="52">
        <f t="shared" si="131"/>
        <v>0.45022499999999999</v>
      </c>
      <c r="M263" s="52">
        <f t="shared" si="131"/>
        <v>0.45022499999999999</v>
      </c>
      <c r="N263" s="52">
        <f t="shared" si="131"/>
        <v>0.45022499999999999</v>
      </c>
      <c r="O263" s="52">
        <f t="shared" si="131"/>
        <v>0.45022499999999999</v>
      </c>
      <c r="P263" s="52">
        <f t="shared" si="131"/>
        <v>0.45022499999999999</v>
      </c>
      <c r="Q263" s="52">
        <f t="shared" si="131"/>
        <v>0.45022499999999999</v>
      </c>
      <c r="R263" s="52">
        <f t="shared" si="131"/>
        <v>0.45022499999999999</v>
      </c>
      <c r="S263" s="52">
        <f t="shared" si="131"/>
        <v>0.45022499999999999</v>
      </c>
      <c r="T263" s="52">
        <f t="shared" si="131"/>
        <v>0.45022499999999999</v>
      </c>
      <c r="U263" s="52">
        <f t="shared" si="131"/>
        <v>0.45022499999999999</v>
      </c>
      <c r="V263" s="180">
        <f t="shared" si="129"/>
        <v>9.0044999999999966</v>
      </c>
      <c r="W263" s="161">
        <f t="shared" si="130"/>
        <v>0.45022499999999982</v>
      </c>
    </row>
    <row r="264" spans="1:23">
      <c r="A264" s="131" t="s">
        <v>1339</v>
      </c>
      <c r="B264" s="116">
        <v>0</v>
      </c>
      <c r="C264" s="116">
        <v>0</v>
      </c>
      <c r="D264" s="116">
        <v>0</v>
      </c>
      <c r="E264" s="116">
        <v>0</v>
      </c>
      <c r="F264" s="116">
        <v>0</v>
      </c>
      <c r="G264" s="116">
        <v>0</v>
      </c>
      <c r="H264" s="116">
        <v>0</v>
      </c>
      <c r="I264" s="116">
        <v>0</v>
      </c>
      <c r="J264" s="116">
        <v>0</v>
      </c>
      <c r="K264" s="116">
        <v>0</v>
      </c>
      <c r="L264" s="116">
        <v>0</v>
      </c>
      <c r="M264" s="116">
        <v>0</v>
      </c>
      <c r="N264" s="116">
        <v>0</v>
      </c>
      <c r="O264" s="116">
        <v>0</v>
      </c>
      <c r="P264" s="116">
        <v>0</v>
      </c>
      <c r="Q264" s="116">
        <v>0</v>
      </c>
      <c r="R264" s="116">
        <v>0</v>
      </c>
      <c r="S264" s="116">
        <v>0</v>
      </c>
      <c r="T264" s="116">
        <v>0</v>
      </c>
      <c r="U264" s="116">
        <v>0</v>
      </c>
      <c r="V264" s="180">
        <f t="shared" ref="V264" si="132">SUM(B264:U264)</f>
        <v>0</v>
      </c>
      <c r="W264" s="161">
        <f t="shared" ref="W264" si="133">V264/20</f>
        <v>0</v>
      </c>
    </row>
    <row r="265" spans="1:23">
      <c r="A265" s="131"/>
      <c r="B265" s="116"/>
      <c r="C265" s="116"/>
      <c r="D265" s="116"/>
      <c r="E265" s="116"/>
      <c r="F265" s="116"/>
      <c r="G265" s="116"/>
      <c r="H265" s="116"/>
      <c r="I265" s="116"/>
      <c r="J265" s="116"/>
      <c r="K265" s="116"/>
      <c r="L265" s="116"/>
      <c r="M265" s="116"/>
      <c r="N265" s="116"/>
      <c r="O265" s="116"/>
      <c r="P265" s="116"/>
      <c r="Q265" s="116"/>
      <c r="R265" s="116"/>
      <c r="S265" s="116"/>
      <c r="T265" s="116"/>
      <c r="U265" s="116"/>
      <c r="V265" s="180"/>
      <c r="W265" s="161"/>
    </row>
    <row r="266" spans="1:23">
      <c r="A266" s="197" t="s">
        <v>18</v>
      </c>
      <c r="B266" s="116"/>
      <c r="C266" s="116"/>
      <c r="D266" s="116"/>
      <c r="E266" s="116"/>
      <c r="F266" s="116"/>
      <c r="G266" s="116"/>
      <c r="H266" s="116"/>
      <c r="I266" s="116"/>
      <c r="J266" s="116"/>
      <c r="K266" s="116"/>
      <c r="L266" s="116"/>
      <c r="M266" s="116"/>
      <c r="N266" s="116"/>
      <c r="O266" s="116"/>
      <c r="P266" s="116"/>
      <c r="Q266" s="116"/>
      <c r="R266" s="116"/>
      <c r="S266" s="116"/>
      <c r="T266" s="116"/>
      <c r="U266" s="116"/>
      <c r="V266" s="180"/>
      <c r="W266" s="161"/>
    </row>
    <row r="267" spans="1:23">
      <c r="A267" s="131" t="s">
        <v>1339</v>
      </c>
      <c r="B267" s="52">
        <f>B$118</f>
        <v>3.8574999999999998E-2</v>
      </c>
      <c r="C267" s="52">
        <f t="shared" ref="C267:U267" si="134">C$118</f>
        <v>3.8574999999999998E-2</v>
      </c>
      <c r="D267" s="52">
        <f t="shared" si="134"/>
        <v>3.8574999999999998E-2</v>
      </c>
      <c r="E267" s="52">
        <f t="shared" si="134"/>
        <v>3.8574999999999998E-2</v>
      </c>
      <c r="F267" s="52">
        <f t="shared" si="134"/>
        <v>3.8574999999999998E-2</v>
      </c>
      <c r="G267" s="52">
        <f t="shared" si="134"/>
        <v>3.8574999999999998E-2</v>
      </c>
      <c r="H267" s="52">
        <f t="shared" si="134"/>
        <v>3.8574999999999998E-2</v>
      </c>
      <c r="I267" s="52">
        <f t="shared" si="134"/>
        <v>3.8574999999999998E-2</v>
      </c>
      <c r="J267" s="52">
        <f t="shared" si="134"/>
        <v>3.8574999999999998E-2</v>
      </c>
      <c r="K267" s="52">
        <f t="shared" si="134"/>
        <v>3.8574999999999998E-2</v>
      </c>
      <c r="L267" s="52">
        <f t="shared" si="134"/>
        <v>3.8574999999999998E-2</v>
      </c>
      <c r="M267" s="52">
        <f t="shared" si="134"/>
        <v>3.8574999999999998E-2</v>
      </c>
      <c r="N267" s="52">
        <f t="shared" si="134"/>
        <v>3.8574999999999998E-2</v>
      </c>
      <c r="O267" s="52">
        <f t="shared" si="134"/>
        <v>3.8574999999999998E-2</v>
      </c>
      <c r="P267" s="52">
        <f t="shared" si="134"/>
        <v>3.8574999999999998E-2</v>
      </c>
      <c r="Q267" s="52">
        <f t="shared" si="134"/>
        <v>3.8574999999999998E-2</v>
      </c>
      <c r="R267" s="52">
        <f t="shared" si="134"/>
        <v>3.8574999999999998E-2</v>
      </c>
      <c r="S267" s="52">
        <f t="shared" si="134"/>
        <v>3.8574999999999998E-2</v>
      </c>
      <c r="T267" s="52">
        <f t="shared" si="134"/>
        <v>3.8574999999999998E-2</v>
      </c>
      <c r="U267" s="52">
        <f t="shared" si="134"/>
        <v>3.8574999999999998E-2</v>
      </c>
      <c r="V267" s="180">
        <f t="shared" ref="V267" si="135">SUM(B267:U267)</f>
        <v>0.7715000000000003</v>
      </c>
      <c r="W267" s="161">
        <f t="shared" ref="W267" si="136">V267/20</f>
        <v>3.8575000000000012E-2</v>
      </c>
    </row>
    <row r="268" spans="1:23">
      <c r="A268" s="10"/>
      <c r="B268" s="116"/>
      <c r="C268" s="116"/>
      <c r="D268" s="116"/>
      <c r="E268" s="116"/>
      <c r="F268" s="116"/>
      <c r="G268" s="116"/>
      <c r="H268" s="116"/>
      <c r="I268" s="116"/>
      <c r="J268" s="116"/>
      <c r="K268" s="116"/>
      <c r="L268" s="116"/>
      <c r="M268" s="116"/>
      <c r="N268" s="116"/>
      <c r="O268" s="116"/>
      <c r="P268" s="116"/>
      <c r="Q268" s="116"/>
      <c r="R268" s="116"/>
      <c r="S268" s="116"/>
      <c r="T268" s="116"/>
      <c r="U268" s="116"/>
      <c r="V268" s="180"/>
      <c r="W268" s="161"/>
    </row>
    <row r="269" spans="1:23">
      <c r="A269" s="197" t="s">
        <v>1340</v>
      </c>
      <c r="V269" s="180"/>
      <c r="W269" s="161"/>
    </row>
    <row r="270" spans="1:23">
      <c r="A270" s="100" t="s">
        <v>680</v>
      </c>
      <c r="B270" s="116">
        <f>B267</f>
        <v>3.8574999999999998E-2</v>
      </c>
      <c r="C270" s="116">
        <f t="shared" ref="C270:U270" si="137">C267</f>
        <v>3.8574999999999998E-2</v>
      </c>
      <c r="D270" s="116">
        <f t="shared" si="137"/>
        <v>3.8574999999999998E-2</v>
      </c>
      <c r="E270" s="116">
        <f t="shared" si="137"/>
        <v>3.8574999999999998E-2</v>
      </c>
      <c r="F270" s="116">
        <f t="shared" si="137"/>
        <v>3.8574999999999998E-2</v>
      </c>
      <c r="G270" s="116">
        <f t="shared" si="137"/>
        <v>3.8574999999999998E-2</v>
      </c>
      <c r="H270" s="116">
        <f t="shared" si="137"/>
        <v>3.8574999999999998E-2</v>
      </c>
      <c r="I270" s="116">
        <f t="shared" si="137"/>
        <v>3.8574999999999998E-2</v>
      </c>
      <c r="J270" s="116">
        <f t="shared" si="137"/>
        <v>3.8574999999999998E-2</v>
      </c>
      <c r="K270" s="116">
        <f t="shared" si="137"/>
        <v>3.8574999999999998E-2</v>
      </c>
      <c r="L270" s="116">
        <f t="shared" si="137"/>
        <v>3.8574999999999998E-2</v>
      </c>
      <c r="M270" s="116">
        <f t="shared" si="137"/>
        <v>3.8574999999999998E-2</v>
      </c>
      <c r="N270" s="116">
        <f t="shared" si="137"/>
        <v>3.8574999999999998E-2</v>
      </c>
      <c r="O270" s="116">
        <f t="shared" si="137"/>
        <v>3.8574999999999998E-2</v>
      </c>
      <c r="P270" s="116">
        <f t="shared" si="137"/>
        <v>3.8574999999999998E-2</v>
      </c>
      <c r="Q270" s="116">
        <f t="shared" si="137"/>
        <v>3.8574999999999998E-2</v>
      </c>
      <c r="R270" s="116">
        <f t="shared" si="137"/>
        <v>3.8574999999999998E-2</v>
      </c>
      <c r="S270" s="116">
        <f t="shared" si="137"/>
        <v>3.8574999999999998E-2</v>
      </c>
      <c r="T270" s="116">
        <f t="shared" si="137"/>
        <v>3.8574999999999998E-2</v>
      </c>
      <c r="U270" s="116">
        <f t="shared" si="137"/>
        <v>3.8574999999999998E-2</v>
      </c>
      <c r="V270" s="180">
        <f t="shared" ref="V270:V271" si="138">SUM(B270:U270)</f>
        <v>0.7715000000000003</v>
      </c>
      <c r="W270" s="161">
        <f t="shared" ref="W270:W271" si="139">V270/20</f>
        <v>3.8575000000000012E-2</v>
      </c>
    </row>
    <row r="271" spans="1:23">
      <c r="A271" s="100" t="s">
        <v>679</v>
      </c>
      <c r="B271" s="52">
        <f>SUM(B261:B264)</f>
        <v>0.58691599999999999</v>
      </c>
      <c r="C271" s="52">
        <f t="shared" ref="C271:U271" si="140">SUM(C261:C264)</f>
        <v>0.45022499999999999</v>
      </c>
      <c r="D271" s="52">
        <f t="shared" si="140"/>
        <v>0.45022499999999999</v>
      </c>
      <c r="E271" s="52">
        <f t="shared" si="140"/>
        <v>0.52784999999999993</v>
      </c>
      <c r="F271" s="52">
        <f t="shared" si="140"/>
        <v>0.45022499999999999</v>
      </c>
      <c r="G271" s="52">
        <f t="shared" si="140"/>
        <v>0.45022499999999999</v>
      </c>
      <c r="H271" s="52">
        <f t="shared" si="140"/>
        <v>0.52784999999999993</v>
      </c>
      <c r="I271" s="52">
        <f t="shared" si="140"/>
        <v>0.45022499999999999</v>
      </c>
      <c r="J271" s="52">
        <f t="shared" si="140"/>
        <v>0.45022499999999999</v>
      </c>
      <c r="K271" s="52">
        <f t="shared" si="140"/>
        <v>0.52784999999999993</v>
      </c>
      <c r="L271" s="52">
        <f t="shared" si="140"/>
        <v>0.45022499999999999</v>
      </c>
      <c r="M271" s="52">
        <f t="shared" si="140"/>
        <v>0.45022499999999999</v>
      </c>
      <c r="N271" s="52">
        <f t="shared" si="140"/>
        <v>0.52784999999999993</v>
      </c>
      <c r="O271" s="52">
        <f t="shared" si="140"/>
        <v>0.45022499999999999</v>
      </c>
      <c r="P271" s="52">
        <f t="shared" si="140"/>
        <v>0.45022499999999999</v>
      </c>
      <c r="Q271" s="52">
        <f t="shared" si="140"/>
        <v>0.52784999999999993</v>
      </c>
      <c r="R271" s="52">
        <f t="shared" si="140"/>
        <v>0.45022499999999999</v>
      </c>
      <c r="S271" s="52">
        <f t="shared" si="140"/>
        <v>0.45022499999999999</v>
      </c>
      <c r="T271" s="52">
        <f t="shared" si="140"/>
        <v>0.52784999999999993</v>
      </c>
      <c r="U271" s="52">
        <f t="shared" si="140"/>
        <v>0.45022499999999999</v>
      </c>
      <c r="V271" s="180">
        <f t="shared" si="138"/>
        <v>9.6069409999999991</v>
      </c>
      <c r="W271" s="161">
        <f t="shared" si="139"/>
        <v>0.48034704999999994</v>
      </c>
    </row>
    <row r="272" spans="1:23">
      <c r="A272" s="263" t="s">
        <v>1149</v>
      </c>
      <c r="B272" s="34">
        <f>SUM(B270:B271)</f>
        <v>0.62549100000000002</v>
      </c>
      <c r="C272" s="34">
        <f t="shared" ref="C272:U272" si="141">SUM(C270:C271)</f>
        <v>0.48880000000000001</v>
      </c>
      <c r="D272" s="34">
        <f t="shared" si="141"/>
        <v>0.48880000000000001</v>
      </c>
      <c r="E272" s="34">
        <f t="shared" si="141"/>
        <v>0.56642499999999996</v>
      </c>
      <c r="F272" s="34">
        <f t="shared" si="141"/>
        <v>0.48880000000000001</v>
      </c>
      <c r="G272" s="34">
        <f t="shared" si="141"/>
        <v>0.48880000000000001</v>
      </c>
      <c r="H272" s="34">
        <f t="shared" si="141"/>
        <v>0.56642499999999996</v>
      </c>
      <c r="I272" s="34">
        <f t="shared" si="141"/>
        <v>0.48880000000000001</v>
      </c>
      <c r="J272" s="34">
        <f t="shared" si="141"/>
        <v>0.48880000000000001</v>
      </c>
      <c r="K272" s="34">
        <f t="shared" si="141"/>
        <v>0.56642499999999996</v>
      </c>
      <c r="L272" s="34">
        <f t="shared" si="141"/>
        <v>0.48880000000000001</v>
      </c>
      <c r="M272" s="34">
        <f t="shared" si="141"/>
        <v>0.48880000000000001</v>
      </c>
      <c r="N272" s="34">
        <f t="shared" si="141"/>
        <v>0.56642499999999996</v>
      </c>
      <c r="O272" s="34">
        <f t="shared" si="141"/>
        <v>0.48880000000000001</v>
      </c>
      <c r="P272" s="34">
        <f t="shared" si="141"/>
        <v>0.48880000000000001</v>
      </c>
      <c r="Q272" s="34">
        <f t="shared" si="141"/>
        <v>0.56642499999999996</v>
      </c>
      <c r="R272" s="34">
        <f t="shared" si="141"/>
        <v>0.48880000000000001</v>
      </c>
      <c r="S272" s="34">
        <f t="shared" si="141"/>
        <v>0.48880000000000001</v>
      </c>
      <c r="T272" s="34">
        <f t="shared" si="141"/>
        <v>0.56642499999999996</v>
      </c>
      <c r="U272" s="34">
        <f t="shared" si="141"/>
        <v>0.48880000000000001</v>
      </c>
      <c r="V272" s="182">
        <f t="shared" ref="V272" si="142">SUM(B272:U272)</f>
        <v>10.378441</v>
      </c>
      <c r="W272" s="283">
        <f t="shared" ref="W272" si="143">V272/20</f>
        <v>0.51892205000000002</v>
      </c>
    </row>
    <row r="273" spans="1:23">
      <c r="A273" s="269" t="s">
        <v>123</v>
      </c>
      <c r="B273" s="52">
        <v>0.96618357487922713</v>
      </c>
      <c r="C273" s="52">
        <v>0.93351070036640305</v>
      </c>
      <c r="D273" s="52">
        <v>0.90194270566802237</v>
      </c>
      <c r="E273" s="52">
        <v>0.87144222769857238</v>
      </c>
      <c r="F273" s="52">
        <v>0.84197316685852419</v>
      </c>
      <c r="G273" s="52">
        <v>0.81350064430775282</v>
      </c>
      <c r="H273" s="52">
        <v>0.78599096068381913</v>
      </c>
      <c r="I273" s="52">
        <v>0.75941155621625056</v>
      </c>
      <c r="J273" s="52">
        <v>0.73373097218961414</v>
      </c>
      <c r="K273" s="52">
        <v>0.70891881370977217</v>
      </c>
      <c r="L273" s="52">
        <v>0.68494571372924851</v>
      </c>
      <c r="M273" s="52">
        <v>0.66178329828912896</v>
      </c>
      <c r="N273" s="52">
        <v>0.63940415293635666</v>
      </c>
      <c r="O273" s="52">
        <v>0.61778179027667302</v>
      </c>
      <c r="P273" s="52">
        <v>0.59689061862480497</v>
      </c>
      <c r="Q273" s="52">
        <v>0.57670591171478747</v>
      </c>
      <c r="R273" s="52">
        <v>0.55720377943457733</v>
      </c>
      <c r="S273" s="52">
        <v>0.53836113955031628</v>
      </c>
      <c r="T273" s="52">
        <v>0.52015569038677911</v>
      </c>
      <c r="U273" s="52">
        <v>0.50256588443167061</v>
      </c>
      <c r="V273" s="179"/>
      <c r="W273" s="140"/>
    </row>
    <row r="274" spans="1:23" s="3" customFormat="1" ht="26.25" thickBot="1">
      <c r="A274" s="43" t="s">
        <v>1148</v>
      </c>
      <c r="B274" s="38">
        <f>B273*B272</f>
        <v>0.60433913043478271</v>
      </c>
      <c r="C274" s="38">
        <f t="shared" ref="C274:U274" si="144">C273*C272</f>
        <v>0.45630003033909783</v>
      </c>
      <c r="D274" s="38">
        <f t="shared" si="144"/>
        <v>0.44086959453052932</v>
      </c>
      <c r="E274" s="38">
        <f t="shared" si="144"/>
        <v>0.49360666382416385</v>
      </c>
      <c r="F274" s="38">
        <f t="shared" si="144"/>
        <v>0.41155648396044664</v>
      </c>
      <c r="G274" s="38">
        <f t="shared" si="144"/>
        <v>0.3976391149376296</v>
      </c>
      <c r="H274" s="38">
        <f t="shared" si="144"/>
        <v>0.44520492990533223</v>
      </c>
      <c r="I274" s="38">
        <f t="shared" si="144"/>
        <v>0.37120036867850326</v>
      </c>
      <c r="J274" s="38">
        <f t="shared" si="144"/>
        <v>0.35864769920628342</v>
      </c>
      <c r="K274" s="38">
        <f t="shared" si="144"/>
        <v>0.40154933905555767</v>
      </c>
      <c r="L274" s="38">
        <f t="shared" si="144"/>
        <v>0.33480146487085666</v>
      </c>
      <c r="M274" s="38">
        <f t="shared" si="144"/>
        <v>0.32347967620372625</v>
      </c>
      <c r="N274" s="38">
        <f t="shared" si="144"/>
        <v>0.36217449732697582</v>
      </c>
      <c r="O274" s="38">
        <f t="shared" si="144"/>
        <v>0.30197173908723779</v>
      </c>
      <c r="P274" s="38">
        <f t="shared" si="144"/>
        <v>0.29176013438380466</v>
      </c>
      <c r="Q274" s="38">
        <f t="shared" si="144"/>
        <v>0.32666064604304845</v>
      </c>
      <c r="R274" s="38">
        <f t="shared" si="144"/>
        <v>0.27236120738762143</v>
      </c>
      <c r="S274" s="38">
        <f t="shared" si="144"/>
        <v>0.26315092501219461</v>
      </c>
      <c r="T274" s="38">
        <f t="shared" si="144"/>
        <v>0.29462918692733131</v>
      </c>
      <c r="U274" s="38">
        <f t="shared" si="144"/>
        <v>0.2456542043102006</v>
      </c>
      <c r="V274" s="378">
        <f t="shared" ref="V274" si="145">SUM(B274:U274)</f>
        <v>7.3975570364253249</v>
      </c>
      <c r="W274" s="146"/>
    </row>
    <row r="275" spans="1:23" ht="13.5" thickBot="1">
      <c r="A275" s="4"/>
      <c r="B275" s="100"/>
      <c r="C275" s="100"/>
      <c r="D275" s="100"/>
      <c r="E275" s="100"/>
      <c r="F275" s="100"/>
      <c r="G275" s="100"/>
      <c r="H275" s="100"/>
      <c r="I275" s="100"/>
      <c r="J275" s="100"/>
      <c r="K275" s="100"/>
      <c r="L275" s="100"/>
      <c r="M275" s="100"/>
      <c r="N275" s="100"/>
      <c r="O275" s="100"/>
      <c r="P275" s="100"/>
      <c r="Q275" s="100"/>
      <c r="R275" s="100"/>
      <c r="S275" s="100"/>
      <c r="T275" s="100"/>
      <c r="U275" s="100"/>
      <c r="V275" s="100"/>
      <c r="W275" s="81"/>
    </row>
    <row r="276" spans="1:23" ht="17.25" customHeight="1">
      <c r="A276" s="274" t="s">
        <v>1043</v>
      </c>
      <c r="B276" s="188"/>
      <c r="C276" s="188"/>
      <c r="D276" s="188"/>
      <c r="E276" s="188"/>
      <c r="F276" s="188"/>
      <c r="G276" s="188"/>
      <c r="H276" s="188"/>
      <c r="I276" s="188"/>
      <c r="J276" s="188"/>
      <c r="K276" s="188"/>
      <c r="L276" s="188"/>
      <c r="M276" s="188"/>
      <c r="N276" s="188"/>
      <c r="O276" s="188"/>
      <c r="P276" s="188"/>
      <c r="Q276" s="188"/>
      <c r="R276" s="188"/>
      <c r="S276" s="188"/>
      <c r="T276" s="188"/>
      <c r="U276" s="188"/>
      <c r="V276" s="178"/>
      <c r="W276" s="130"/>
    </row>
    <row r="277" spans="1:23" ht="17.25" customHeight="1">
      <c r="A277" s="275"/>
      <c r="B277" s="100"/>
      <c r="C277" s="100"/>
      <c r="D277" s="100"/>
      <c r="E277" s="100"/>
      <c r="F277" s="100"/>
      <c r="G277" s="100"/>
      <c r="H277" s="100"/>
      <c r="I277" s="100"/>
      <c r="J277" s="100"/>
      <c r="K277" s="100"/>
      <c r="L277" s="100"/>
      <c r="M277" s="100"/>
      <c r="N277" s="100"/>
      <c r="O277" s="100"/>
      <c r="P277" s="100"/>
      <c r="Q277" s="100"/>
      <c r="R277" s="100"/>
      <c r="S277" s="100"/>
      <c r="T277" s="100"/>
      <c r="U277" s="100"/>
      <c r="V277" s="179"/>
      <c r="W277" s="140"/>
    </row>
    <row r="278" spans="1:23">
      <c r="A278" s="197" t="s">
        <v>17</v>
      </c>
      <c r="B278" s="100"/>
      <c r="C278" s="100"/>
      <c r="D278" s="100"/>
      <c r="E278" s="100"/>
      <c r="F278" s="100"/>
      <c r="G278" s="100"/>
      <c r="H278" s="100"/>
      <c r="I278" s="100"/>
      <c r="J278" s="100"/>
      <c r="K278" s="100"/>
      <c r="L278" s="100"/>
      <c r="M278" s="100"/>
      <c r="N278" s="100"/>
      <c r="O278" s="100"/>
      <c r="P278" s="100"/>
      <c r="Q278" s="100"/>
      <c r="R278" s="100"/>
      <c r="S278" s="100"/>
      <c r="T278" s="100"/>
      <c r="U278" s="100"/>
      <c r="V278" s="179"/>
      <c r="W278" s="140"/>
    </row>
    <row r="279" spans="1:23" s="99" customFormat="1" ht="51">
      <c r="A279" s="200" t="s">
        <v>1355</v>
      </c>
      <c r="B279" s="52">
        <f>B$220*0.6</f>
        <v>2.835E-2</v>
      </c>
      <c r="C279" s="52">
        <f t="shared" ref="C279:U279" si="146">C$220*0.6</f>
        <v>0</v>
      </c>
      <c r="D279" s="52">
        <f t="shared" si="146"/>
        <v>0</v>
      </c>
      <c r="E279" s="52">
        <f t="shared" si="146"/>
        <v>2.835E-2</v>
      </c>
      <c r="F279" s="52">
        <f t="shared" si="146"/>
        <v>0</v>
      </c>
      <c r="G279" s="52">
        <f t="shared" si="146"/>
        <v>0</v>
      </c>
      <c r="H279" s="52">
        <f t="shared" si="146"/>
        <v>2.835E-2</v>
      </c>
      <c r="I279" s="52">
        <f t="shared" si="146"/>
        <v>0</v>
      </c>
      <c r="J279" s="52">
        <f t="shared" si="146"/>
        <v>0</v>
      </c>
      <c r="K279" s="52">
        <f t="shared" si="146"/>
        <v>2.835E-2</v>
      </c>
      <c r="L279" s="52">
        <f t="shared" si="146"/>
        <v>0</v>
      </c>
      <c r="M279" s="52">
        <f t="shared" si="146"/>
        <v>0</v>
      </c>
      <c r="N279" s="52">
        <f t="shared" si="146"/>
        <v>2.835E-2</v>
      </c>
      <c r="O279" s="52">
        <f t="shared" si="146"/>
        <v>0</v>
      </c>
      <c r="P279" s="52">
        <f t="shared" si="146"/>
        <v>0</v>
      </c>
      <c r="Q279" s="52">
        <f t="shared" si="146"/>
        <v>2.835E-2</v>
      </c>
      <c r="R279" s="52">
        <f t="shared" si="146"/>
        <v>0</v>
      </c>
      <c r="S279" s="52">
        <f t="shared" si="146"/>
        <v>0</v>
      </c>
      <c r="T279" s="52">
        <f t="shared" si="146"/>
        <v>2.835E-2</v>
      </c>
      <c r="U279" s="52">
        <f t="shared" si="146"/>
        <v>0</v>
      </c>
      <c r="V279" s="180">
        <f t="shared" ref="V279" si="147">SUM(B279:U279)</f>
        <v>0.19844999999999996</v>
      </c>
      <c r="W279" s="161">
        <f t="shared" ref="W279" si="148">V279/20</f>
        <v>9.9224999999999973E-3</v>
      </c>
    </row>
    <row r="280" spans="1:23" s="99" customFormat="1" ht="38.25">
      <c r="A280" s="200" t="s">
        <v>1359</v>
      </c>
      <c r="B280" s="52">
        <f>'Scenario 2 Assumptions'!C409*'Scenario 2 Assumptions'!E409</f>
        <v>1.6875999999999999E-2</v>
      </c>
      <c r="C280" s="52">
        <v>0</v>
      </c>
      <c r="D280" s="52">
        <v>0</v>
      </c>
      <c r="E280" s="52">
        <v>0</v>
      </c>
      <c r="F280" s="52">
        <v>0</v>
      </c>
      <c r="G280" s="52">
        <v>0</v>
      </c>
      <c r="H280" s="52">
        <v>0</v>
      </c>
      <c r="I280" s="52">
        <v>0</v>
      </c>
      <c r="J280" s="52">
        <v>0</v>
      </c>
      <c r="K280" s="52">
        <v>0</v>
      </c>
      <c r="L280" s="52">
        <v>0</v>
      </c>
      <c r="M280" s="52">
        <v>0</v>
      </c>
      <c r="N280" s="52">
        <v>0</v>
      </c>
      <c r="O280" s="52">
        <v>0</v>
      </c>
      <c r="P280" s="52">
        <v>0</v>
      </c>
      <c r="Q280" s="52">
        <v>0</v>
      </c>
      <c r="R280" s="52">
        <v>0</v>
      </c>
      <c r="S280" s="52">
        <v>0</v>
      </c>
      <c r="T280" s="52">
        <v>0</v>
      </c>
      <c r="U280" s="52">
        <v>0</v>
      </c>
      <c r="V280" s="180">
        <f t="shared" ref="V280:V281" si="149">SUM(B280:U280)</f>
        <v>1.6875999999999999E-2</v>
      </c>
      <c r="W280" s="161">
        <f t="shared" ref="W280:W281" si="150">V280/20</f>
        <v>8.4379999999999991E-4</v>
      </c>
    </row>
    <row r="281" spans="1:23" ht="25.5">
      <c r="A281" s="377" t="s">
        <v>1350</v>
      </c>
      <c r="B281" s="52">
        <f>B$221</f>
        <v>6.3450000000000006E-2</v>
      </c>
      <c r="C281" s="52">
        <f t="shared" ref="C281:U281" si="151">C$221</f>
        <v>1.6199999999999999E-2</v>
      </c>
      <c r="D281" s="52">
        <f t="shared" si="151"/>
        <v>1.6199999999999999E-2</v>
      </c>
      <c r="E281" s="52">
        <f t="shared" si="151"/>
        <v>6.3450000000000006E-2</v>
      </c>
      <c r="F281" s="52">
        <f t="shared" si="151"/>
        <v>1.6199999999999999E-2</v>
      </c>
      <c r="G281" s="52">
        <f t="shared" si="151"/>
        <v>1.6199999999999999E-2</v>
      </c>
      <c r="H281" s="52">
        <f t="shared" si="151"/>
        <v>6.3450000000000006E-2</v>
      </c>
      <c r="I281" s="52">
        <f t="shared" si="151"/>
        <v>1.6199999999999999E-2</v>
      </c>
      <c r="J281" s="52">
        <f t="shared" si="151"/>
        <v>1.6199999999999999E-2</v>
      </c>
      <c r="K281" s="52">
        <f t="shared" si="151"/>
        <v>6.3450000000000006E-2</v>
      </c>
      <c r="L281" s="52">
        <f t="shared" si="151"/>
        <v>1.6199999999999999E-2</v>
      </c>
      <c r="M281" s="52">
        <f t="shared" si="151"/>
        <v>1.6199999999999999E-2</v>
      </c>
      <c r="N281" s="52">
        <f t="shared" si="151"/>
        <v>6.3450000000000006E-2</v>
      </c>
      <c r="O281" s="52">
        <f t="shared" si="151"/>
        <v>1.6199999999999999E-2</v>
      </c>
      <c r="P281" s="52">
        <f t="shared" si="151"/>
        <v>1.6199999999999999E-2</v>
      </c>
      <c r="Q281" s="52">
        <f t="shared" si="151"/>
        <v>6.3450000000000006E-2</v>
      </c>
      <c r="R281" s="52">
        <f t="shared" si="151"/>
        <v>1.6199999999999999E-2</v>
      </c>
      <c r="S281" s="52">
        <f t="shared" si="151"/>
        <v>1.6199999999999999E-2</v>
      </c>
      <c r="T281" s="52">
        <f t="shared" si="151"/>
        <v>6.3450000000000006E-2</v>
      </c>
      <c r="U281" s="52">
        <f t="shared" si="151"/>
        <v>1.6199999999999999E-2</v>
      </c>
      <c r="V281" s="180">
        <f t="shared" si="149"/>
        <v>0.65474999999999994</v>
      </c>
      <c r="W281" s="161">
        <f t="shared" si="150"/>
        <v>3.2737499999999996E-2</v>
      </c>
    </row>
    <row r="282" spans="1:23" s="99" customFormat="1">
      <c r="A282" s="131" t="s">
        <v>1339</v>
      </c>
      <c r="B282" s="52">
        <v>0</v>
      </c>
      <c r="C282" s="52">
        <v>0</v>
      </c>
      <c r="D282" s="52">
        <v>0</v>
      </c>
      <c r="E282" s="52">
        <v>0</v>
      </c>
      <c r="F282" s="52">
        <v>0</v>
      </c>
      <c r="G282" s="52">
        <v>0</v>
      </c>
      <c r="H282" s="52">
        <v>0</v>
      </c>
      <c r="I282" s="52">
        <v>0</v>
      </c>
      <c r="J282" s="52">
        <v>0</v>
      </c>
      <c r="K282" s="52">
        <v>0</v>
      </c>
      <c r="L282" s="52">
        <v>0</v>
      </c>
      <c r="M282" s="52">
        <v>0</v>
      </c>
      <c r="N282" s="52">
        <v>0</v>
      </c>
      <c r="O282" s="52">
        <v>0</v>
      </c>
      <c r="P282" s="52">
        <v>0</v>
      </c>
      <c r="Q282" s="52">
        <v>0</v>
      </c>
      <c r="R282" s="52">
        <v>0</v>
      </c>
      <c r="S282" s="52">
        <v>0</v>
      </c>
      <c r="T282" s="52">
        <v>0</v>
      </c>
      <c r="U282" s="52">
        <v>0</v>
      </c>
      <c r="V282" s="180">
        <f t="shared" ref="V282" si="152">SUM(B282:U282)</f>
        <v>0</v>
      </c>
      <c r="W282" s="161">
        <f t="shared" ref="W282" si="153">V282/20</f>
        <v>0</v>
      </c>
    </row>
    <row r="283" spans="1:23" s="99" customFormat="1">
      <c r="A283" s="276"/>
      <c r="B283" s="52"/>
      <c r="C283" s="52"/>
      <c r="D283" s="52"/>
      <c r="E283" s="52"/>
      <c r="F283" s="52"/>
      <c r="G283" s="52"/>
      <c r="H283" s="52"/>
      <c r="I283" s="52"/>
      <c r="J283" s="52"/>
      <c r="K283" s="52"/>
      <c r="L283" s="52"/>
      <c r="M283" s="52"/>
      <c r="N283" s="52"/>
      <c r="O283" s="52"/>
      <c r="P283" s="52"/>
      <c r="Q283" s="52"/>
      <c r="R283" s="52"/>
      <c r="S283" s="52"/>
      <c r="T283" s="52"/>
      <c r="U283" s="52"/>
      <c r="V283" s="180"/>
      <c r="W283" s="161"/>
    </row>
    <row r="284" spans="1:23" s="99" customFormat="1">
      <c r="A284" s="197" t="s">
        <v>18</v>
      </c>
      <c r="B284" s="52"/>
      <c r="C284" s="52"/>
      <c r="D284" s="52"/>
      <c r="E284" s="52"/>
      <c r="F284" s="52"/>
      <c r="G284" s="52"/>
      <c r="H284" s="52"/>
      <c r="I284" s="52"/>
      <c r="J284" s="52"/>
      <c r="K284" s="52"/>
      <c r="L284" s="52"/>
      <c r="M284" s="52"/>
      <c r="N284" s="52"/>
      <c r="O284" s="52"/>
      <c r="P284" s="52"/>
      <c r="Q284" s="52"/>
      <c r="R284" s="52"/>
      <c r="S284" s="52"/>
      <c r="T284" s="52"/>
      <c r="U284" s="52"/>
      <c r="V284" s="180"/>
      <c r="W284" s="161"/>
    </row>
    <row r="285" spans="1:23" s="99" customFormat="1">
      <c r="A285" s="131" t="s">
        <v>1339</v>
      </c>
      <c r="B285" s="52">
        <v>0</v>
      </c>
      <c r="C285" s="52">
        <v>0</v>
      </c>
      <c r="D285" s="52">
        <v>0</v>
      </c>
      <c r="E285" s="52">
        <v>0</v>
      </c>
      <c r="F285" s="52">
        <v>0</v>
      </c>
      <c r="G285" s="52">
        <v>0</v>
      </c>
      <c r="H285" s="52">
        <v>0</v>
      </c>
      <c r="I285" s="52">
        <v>0</v>
      </c>
      <c r="J285" s="52">
        <v>0</v>
      </c>
      <c r="K285" s="52">
        <v>0</v>
      </c>
      <c r="L285" s="52">
        <v>0</v>
      </c>
      <c r="M285" s="52">
        <v>0</v>
      </c>
      <c r="N285" s="52">
        <v>0</v>
      </c>
      <c r="O285" s="52">
        <v>0</v>
      </c>
      <c r="P285" s="52">
        <v>0</v>
      </c>
      <c r="Q285" s="52">
        <v>0</v>
      </c>
      <c r="R285" s="52">
        <v>0</v>
      </c>
      <c r="S285" s="52">
        <v>0</v>
      </c>
      <c r="T285" s="52">
        <v>0</v>
      </c>
      <c r="U285" s="52">
        <v>0</v>
      </c>
      <c r="V285" s="180">
        <f t="shared" ref="V285" si="154">SUM(B285:U285)</f>
        <v>0</v>
      </c>
      <c r="W285" s="161">
        <f t="shared" ref="W285" si="155">V285/20</f>
        <v>0</v>
      </c>
    </row>
    <row r="286" spans="1:23" s="99" customFormat="1">
      <c r="A286" s="100"/>
      <c r="B286" s="52"/>
      <c r="C286" s="52"/>
      <c r="D286" s="52"/>
      <c r="E286" s="52"/>
      <c r="F286" s="52"/>
      <c r="G286" s="52"/>
      <c r="H286" s="52"/>
      <c r="I286" s="52"/>
      <c r="J286" s="52"/>
      <c r="K286" s="52"/>
      <c r="L286" s="52"/>
      <c r="M286" s="52"/>
      <c r="N286" s="52"/>
      <c r="O286" s="52"/>
      <c r="P286" s="52"/>
      <c r="Q286" s="52"/>
      <c r="R286" s="52"/>
      <c r="S286" s="52"/>
      <c r="T286" s="52"/>
      <c r="U286" s="52"/>
      <c r="V286" s="180"/>
      <c r="W286" s="161"/>
    </row>
    <row r="287" spans="1:23" s="99" customFormat="1">
      <c r="A287" s="197" t="s">
        <v>1340</v>
      </c>
      <c r="B287" s="52"/>
      <c r="C287" s="52"/>
      <c r="D287" s="52"/>
      <c r="E287" s="52"/>
      <c r="F287" s="52"/>
      <c r="G287" s="52"/>
      <c r="H287" s="52"/>
      <c r="I287" s="52"/>
      <c r="J287" s="52"/>
      <c r="K287" s="52"/>
      <c r="L287" s="52"/>
      <c r="M287" s="52"/>
      <c r="N287" s="52"/>
      <c r="O287" s="52"/>
      <c r="P287" s="52"/>
      <c r="Q287" s="52"/>
      <c r="R287" s="52"/>
      <c r="S287" s="52"/>
      <c r="T287" s="52"/>
      <c r="U287" s="52"/>
      <c r="V287" s="180"/>
      <c r="W287" s="161"/>
    </row>
    <row r="288" spans="1:23" s="99" customFormat="1">
      <c r="A288" s="100" t="s">
        <v>680</v>
      </c>
      <c r="B288" s="52">
        <f>B285</f>
        <v>0</v>
      </c>
      <c r="C288" s="52">
        <f t="shared" ref="C288:U288" si="156">C285</f>
        <v>0</v>
      </c>
      <c r="D288" s="52">
        <f t="shared" si="156"/>
        <v>0</v>
      </c>
      <c r="E288" s="52">
        <f t="shared" si="156"/>
        <v>0</v>
      </c>
      <c r="F288" s="52">
        <f t="shared" si="156"/>
        <v>0</v>
      </c>
      <c r="G288" s="52">
        <f t="shared" si="156"/>
        <v>0</v>
      </c>
      <c r="H288" s="52">
        <f t="shared" si="156"/>
        <v>0</v>
      </c>
      <c r="I288" s="52">
        <f t="shared" si="156"/>
        <v>0</v>
      </c>
      <c r="J288" s="52">
        <f t="shared" si="156"/>
        <v>0</v>
      </c>
      <c r="K288" s="52">
        <f t="shared" si="156"/>
        <v>0</v>
      </c>
      <c r="L288" s="52">
        <f t="shared" si="156"/>
        <v>0</v>
      </c>
      <c r="M288" s="52">
        <f t="shared" si="156"/>
        <v>0</v>
      </c>
      <c r="N288" s="52">
        <f t="shared" si="156"/>
        <v>0</v>
      </c>
      <c r="O288" s="52">
        <f t="shared" si="156"/>
        <v>0</v>
      </c>
      <c r="P288" s="52">
        <f t="shared" si="156"/>
        <v>0</v>
      </c>
      <c r="Q288" s="52">
        <f t="shared" si="156"/>
        <v>0</v>
      </c>
      <c r="R288" s="52">
        <f t="shared" si="156"/>
        <v>0</v>
      </c>
      <c r="S288" s="52">
        <f t="shared" si="156"/>
        <v>0</v>
      </c>
      <c r="T288" s="52">
        <f t="shared" si="156"/>
        <v>0</v>
      </c>
      <c r="U288" s="52">
        <f t="shared" si="156"/>
        <v>0</v>
      </c>
      <c r="V288" s="180">
        <f t="shared" ref="V288:V289" si="157">SUM(B288:U288)</f>
        <v>0</v>
      </c>
      <c r="W288" s="161">
        <f t="shared" ref="W288:W289" si="158">V288/20</f>
        <v>0</v>
      </c>
    </row>
    <row r="289" spans="1:23">
      <c r="A289" s="100" t="s">
        <v>679</v>
      </c>
      <c r="B289" s="52">
        <f>SUM(B279:B282)</f>
        <v>0.10867600000000001</v>
      </c>
      <c r="C289" s="52">
        <f t="shared" ref="C289:U289" si="159">SUM(C279:C282)</f>
        <v>1.6199999999999999E-2</v>
      </c>
      <c r="D289" s="52">
        <f t="shared" si="159"/>
        <v>1.6199999999999999E-2</v>
      </c>
      <c r="E289" s="52">
        <f t="shared" si="159"/>
        <v>9.1800000000000007E-2</v>
      </c>
      <c r="F289" s="52">
        <f t="shared" si="159"/>
        <v>1.6199999999999999E-2</v>
      </c>
      <c r="G289" s="52">
        <f t="shared" si="159"/>
        <v>1.6199999999999999E-2</v>
      </c>
      <c r="H289" s="52">
        <f t="shared" si="159"/>
        <v>9.1800000000000007E-2</v>
      </c>
      <c r="I289" s="52">
        <f t="shared" si="159"/>
        <v>1.6199999999999999E-2</v>
      </c>
      <c r="J289" s="52">
        <f t="shared" si="159"/>
        <v>1.6199999999999999E-2</v>
      </c>
      <c r="K289" s="52">
        <f t="shared" si="159"/>
        <v>9.1800000000000007E-2</v>
      </c>
      <c r="L289" s="52">
        <f t="shared" si="159"/>
        <v>1.6199999999999999E-2</v>
      </c>
      <c r="M289" s="52">
        <f t="shared" si="159"/>
        <v>1.6199999999999999E-2</v>
      </c>
      <c r="N289" s="52">
        <f t="shared" si="159"/>
        <v>9.1800000000000007E-2</v>
      </c>
      <c r="O289" s="52">
        <f t="shared" si="159"/>
        <v>1.6199999999999999E-2</v>
      </c>
      <c r="P289" s="52">
        <f t="shared" si="159"/>
        <v>1.6199999999999999E-2</v>
      </c>
      <c r="Q289" s="52">
        <f t="shared" si="159"/>
        <v>9.1800000000000007E-2</v>
      </c>
      <c r="R289" s="52">
        <f t="shared" si="159"/>
        <v>1.6199999999999999E-2</v>
      </c>
      <c r="S289" s="52">
        <f t="shared" si="159"/>
        <v>1.6199999999999999E-2</v>
      </c>
      <c r="T289" s="52">
        <f t="shared" si="159"/>
        <v>9.1800000000000007E-2</v>
      </c>
      <c r="U289" s="52">
        <f t="shared" si="159"/>
        <v>1.6199999999999999E-2</v>
      </c>
      <c r="V289" s="180">
        <f t="shared" si="157"/>
        <v>0.87007599999999996</v>
      </c>
      <c r="W289" s="161">
        <f t="shared" si="158"/>
        <v>4.3503799999999995E-2</v>
      </c>
    </row>
    <row r="290" spans="1:23">
      <c r="A290" s="263" t="s">
        <v>1149</v>
      </c>
      <c r="B290" s="34">
        <f>SUM(B288:B289)</f>
        <v>0.10867600000000001</v>
      </c>
      <c r="C290" s="34">
        <f t="shared" ref="C290:U290" si="160">SUM(C288:C289)</f>
        <v>1.6199999999999999E-2</v>
      </c>
      <c r="D290" s="34">
        <f t="shared" si="160"/>
        <v>1.6199999999999999E-2</v>
      </c>
      <c r="E290" s="34">
        <f t="shared" si="160"/>
        <v>9.1800000000000007E-2</v>
      </c>
      <c r="F290" s="34">
        <f t="shared" si="160"/>
        <v>1.6199999999999999E-2</v>
      </c>
      <c r="G290" s="34">
        <f t="shared" si="160"/>
        <v>1.6199999999999999E-2</v>
      </c>
      <c r="H290" s="34">
        <f t="shared" si="160"/>
        <v>9.1800000000000007E-2</v>
      </c>
      <c r="I290" s="34">
        <f t="shared" si="160"/>
        <v>1.6199999999999999E-2</v>
      </c>
      <c r="J290" s="34">
        <f t="shared" si="160"/>
        <v>1.6199999999999999E-2</v>
      </c>
      <c r="K290" s="34">
        <f t="shared" si="160"/>
        <v>9.1800000000000007E-2</v>
      </c>
      <c r="L290" s="34">
        <f t="shared" si="160"/>
        <v>1.6199999999999999E-2</v>
      </c>
      <c r="M290" s="34">
        <f t="shared" si="160"/>
        <v>1.6199999999999999E-2</v>
      </c>
      <c r="N290" s="34">
        <f t="shared" si="160"/>
        <v>9.1800000000000007E-2</v>
      </c>
      <c r="O290" s="34">
        <f t="shared" si="160"/>
        <v>1.6199999999999999E-2</v>
      </c>
      <c r="P290" s="34">
        <f t="shared" si="160"/>
        <v>1.6199999999999999E-2</v>
      </c>
      <c r="Q290" s="34">
        <f t="shared" si="160"/>
        <v>9.1800000000000007E-2</v>
      </c>
      <c r="R290" s="34">
        <f t="shared" si="160"/>
        <v>1.6199999999999999E-2</v>
      </c>
      <c r="S290" s="34">
        <f t="shared" si="160"/>
        <v>1.6199999999999999E-2</v>
      </c>
      <c r="T290" s="34">
        <f t="shared" si="160"/>
        <v>9.1800000000000007E-2</v>
      </c>
      <c r="U290" s="34">
        <f t="shared" si="160"/>
        <v>1.6199999999999999E-2</v>
      </c>
      <c r="V290" s="182">
        <f t="shared" ref="V290" si="161">SUM(B290:U290)</f>
        <v>0.87007599999999996</v>
      </c>
      <c r="W290" s="283">
        <f t="shared" ref="W290" si="162">V290/20</f>
        <v>4.3503799999999995E-2</v>
      </c>
    </row>
    <row r="291" spans="1:23">
      <c r="A291" s="269" t="s">
        <v>123</v>
      </c>
      <c r="B291" s="52">
        <v>0.96618357487922713</v>
      </c>
      <c r="C291" s="52">
        <v>0.93351070036640305</v>
      </c>
      <c r="D291" s="52">
        <v>0.90194270566802237</v>
      </c>
      <c r="E291" s="52">
        <v>0.87144222769857238</v>
      </c>
      <c r="F291" s="52">
        <v>0.84197316685852419</v>
      </c>
      <c r="G291" s="52">
        <v>0.81350064430775282</v>
      </c>
      <c r="H291" s="52">
        <v>0.78599096068381913</v>
      </c>
      <c r="I291" s="52">
        <v>0.75941155621625056</v>
      </c>
      <c r="J291" s="52">
        <v>0.73373097218961414</v>
      </c>
      <c r="K291" s="52">
        <v>0.70891881370977217</v>
      </c>
      <c r="L291" s="52">
        <v>0.68494571372924851</v>
      </c>
      <c r="M291" s="52">
        <v>0.66178329828912896</v>
      </c>
      <c r="N291" s="52">
        <v>0.63940415293635666</v>
      </c>
      <c r="O291" s="52">
        <v>0.61778179027667302</v>
      </c>
      <c r="P291" s="52">
        <v>0.59689061862480497</v>
      </c>
      <c r="Q291" s="52">
        <v>0.57670591171478747</v>
      </c>
      <c r="R291" s="52">
        <v>0.55720377943457733</v>
      </c>
      <c r="S291" s="52">
        <v>0.53836113955031628</v>
      </c>
      <c r="T291" s="52">
        <v>0.52015569038677911</v>
      </c>
      <c r="U291" s="52">
        <v>0.50256588443167061</v>
      </c>
      <c r="V291" s="179"/>
      <c r="W291" s="140"/>
    </row>
    <row r="292" spans="1:23" ht="26.25" thickBot="1">
      <c r="A292" s="43" t="s">
        <v>1148</v>
      </c>
      <c r="B292" s="38">
        <f>B291*B290</f>
        <v>0.10500096618357489</v>
      </c>
      <c r="C292" s="38">
        <f t="shared" ref="C292:U292" si="163">C291*C290</f>
        <v>1.5122873345935728E-2</v>
      </c>
      <c r="D292" s="38">
        <f t="shared" si="163"/>
        <v>1.4611471831821961E-2</v>
      </c>
      <c r="E292" s="38">
        <f t="shared" si="163"/>
        <v>7.9998396502728955E-2</v>
      </c>
      <c r="F292" s="38">
        <f t="shared" si="163"/>
        <v>1.3639965303108091E-2</v>
      </c>
      <c r="G292" s="38">
        <f t="shared" si="163"/>
        <v>1.3178710437785596E-2</v>
      </c>
      <c r="H292" s="38">
        <f t="shared" si="163"/>
        <v>7.2153970190774602E-2</v>
      </c>
      <c r="I292" s="38">
        <f t="shared" si="163"/>
        <v>1.2302467210703258E-2</v>
      </c>
      <c r="J292" s="38">
        <f t="shared" si="163"/>
        <v>1.1886441749471748E-2</v>
      </c>
      <c r="K292" s="38">
        <f t="shared" si="163"/>
        <v>6.5078747098557085E-2</v>
      </c>
      <c r="L292" s="38">
        <f t="shared" si="163"/>
        <v>1.1096120562413825E-2</v>
      </c>
      <c r="M292" s="38">
        <f t="shared" si="163"/>
        <v>1.0720889432283888E-2</v>
      </c>
      <c r="N292" s="38">
        <f t="shared" si="163"/>
        <v>5.8697301239557548E-2</v>
      </c>
      <c r="O292" s="38">
        <f t="shared" si="163"/>
        <v>1.0008065002482103E-2</v>
      </c>
      <c r="P292" s="38">
        <f t="shared" si="163"/>
        <v>9.6696280217218392E-3</v>
      </c>
      <c r="Q292" s="38">
        <f t="shared" si="163"/>
        <v>5.2941602695417492E-2</v>
      </c>
      <c r="R292" s="38">
        <f t="shared" si="163"/>
        <v>9.0267012268401524E-3</v>
      </c>
      <c r="S292" s="38">
        <f t="shared" si="163"/>
        <v>8.7214504607151227E-3</v>
      </c>
      <c r="T292" s="38">
        <f t="shared" si="163"/>
        <v>4.7750292377506325E-2</v>
      </c>
      <c r="U292" s="38">
        <f t="shared" si="163"/>
        <v>8.1415673277930641E-3</v>
      </c>
      <c r="V292" s="378">
        <f t="shared" ref="V292" si="164">SUM(B292:U292)</f>
        <v>0.62974762820119323</v>
      </c>
      <c r="W292" s="146"/>
    </row>
    <row r="293" spans="1:23" ht="13.5" thickBot="1">
      <c r="A293" s="4"/>
      <c r="B293" s="100"/>
      <c r="C293" s="100"/>
      <c r="D293" s="100"/>
      <c r="E293" s="100"/>
      <c r="F293" s="100"/>
      <c r="G293" s="100"/>
      <c r="H293" s="100"/>
      <c r="I293" s="100"/>
      <c r="J293" s="100"/>
      <c r="K293" s="100"/>
      <c r="L293" s="100"/>
      <c r="M293" s="100"/>
      <c r="N293" s="100"/>
      <c r="O293" s="100"/>
      <c r="P293" s="100"/>
      <c r="Q293" s="100"/>
      <c r="R293" s="100"/>
      <c r="S293" s="100"/>
      <c r="T293" s="100"/>
      <c r="U293" s="100"/>
      <c r="V293" s="100"/>
      <c r="W293" s="81"/>
    </row>
    <row r="294" spans="1:23" ht="17.25" customHeight="1">
      <c r="A294" s="274" t="s">
        <v>654</v>
      </c>
      <c r="B294" s="188"/>
      <c r="C294" s="188"/>
      <c r="D294" s="188"/>
      <c r="E294" s="188"/>
      <c r="F294" s="188"/>
      <c r="G294" s="188"/>
      <c r="H294" s="188"/>
      <c r="I294" s="188"/>
      <c r="J294" s="188"/>
      <c r="K294" s="188"/>
      <c r="L294" s="188"/>
      <c r="M294" s="188"/>
      <c r="N294" s="188"/>
      <c r="O294" s="188"/>
      <c r="P294" s="188"/>
      <c r="Q294" s="188"/>
      <c r="R294" s="188"/>
      <c r="S294" s="188"/>
      <c r="T294" s="188"/>
      <c r="U294" s="188"/>
      <c r="V294" s="178"/>
      <c r="W294" s="130"/>
    </row>
    <row r="295" spans="1:23" ht="17.25" customHeight="1">
      <c r="A295" s="275"/>
      <c r="B295" s="100"/>
      <c r="C295" s="100"/>
      <c r="D295" s="100"/>
      <c r="E295" s="100"/>
      <c r="F295" s="100"/>
      <c r="G295" s="100"/>
      <c r="H295" s="100"/>
      <c r="I295" s="100"/>
      <c r="J295" s="100"/>
      <c r="K295" s="100"/>
      <c r="L295" s="100"/>
      <c r="M295" s="100"/>
      <c r="N295" s="100"/>
      <c r="O295" s="100"/>
      <c r="P295" s="100"/>
      <c r="Q295" s="100"/>
      <c r="R295" s="100"/>
      <c r="S295" s="100"/>
      <c r="T295" s="100"/>
      <c r="U295" s="100"/>
      <c r="V295" s="179"/>
      <c r="W295" s="140"/>
    </row>
    <row r="296" spans="1:23">
      <c r="A296" s="197" t="s">
        <v>17</v>
      </c>
      <c r="B296" s="100"/>
      <c r="C296" s="100"/>
      <c r="D296" s="100"/>
      <c r="E296" s="100"/>
      <c r="F296" s="100"/>
      <c r="G296" s="100"/>
      <c r="H296" s="100"/>
      <c r="I296" s="100"/>
      <c r="J296" s="100"/>
      <c r="K296" s="100"/>
      <c r="L296" s="100"/>
      <c r="M296" s="100"/>
      <c r="N296" s="100"/>
      <c r="O296" s="100"/>
      <c r="P296" s="100"/>
      <c r="Q296" s="100"/>
      <c r="R296" s="100"/>
      <c r="S296" s="100"/>
      <c r="T296" s="100"/>
      <c r="U296" s="100"/>
      <c r="V296" s="179"/>
      <c r="W296" s="140"/>
    </row>
    <row r="297" spans="1:23" s="99" customFormat="1" ht="51">
      <c r="A297" s="200" t="s">
        <v>1356</v>
      </c>
      <c r="B297" s="52">
        <f>B175</f>
        <v>1.35E-2</v>
      </c>
      <c r="C297" s="52">
        <f t="shared" ref="C297:U297" si="165">C175</f>
        <v>0</v>
      </c>
      <c r="D297" s="52">
        <f t="shared" si="165"/>
        <v>0</v>
      </c>
      <c r="E297" s="52">
        <f t="shared" si="165"/>
        <v>1.35E-2</v>
      </c>
      <c r="F297" s="52">
        <f t="shared" si="165"/>
        <v>0</v>
      </c>
      <c r="G297" s="52">
        <f t="shared" si="165"/>
        <v>0</v>
      </c>
      <c r="H297" s="52">
        <f t="shared" si="165"/>
        <v>1.35E-2</v>
      </c>
      <c r="I297" s="52">
        <f t="shared" si="165"/>
        <v>0</v>
      </c>
      <c r="J297" s="52">
        <f t="shared" si="165"/>
        <v>0</v>
      </c>
      <c r="K297" s="52">
        <f t="shared" si="165"/>
        <v>1.35E-2</v>
      </c>
      <c r="L297" s="52">
        <f t="shared" si="165"/>
        <v>0</v>
      </c>
      <c r="M297" s="52">
        <f t="shared" si="165"/>
        <v>0</v>
      </c>
      <c r="N297" s="52">
        <f t="shared" si="165"/>
        <v>1.35E-2</v>
      </c>
      <c r="O297" s="52">
        <f t="shared" si="165"/>
        <v>0</v>
      </c>
      <c r="P297" s="52">
        <f t="shared" si="165"/>
        <v>0</v>
      </c>
      <c r="Q297" s="52">
        <f t="shared" si="165"/>
        <v>1.35E-2</v>
      </c>
      <c r="R297" s="52">
        <f t="shared" si="165"/>
        <v>0</v>
      </c>
      <c r="S297" s="52">
        <f t="shared" si="165"/>
        <v>0</v>
      </c>
      <c r="T297" s="52">
        <f t="shared" si="165"/>
        <v>1.35E-2</v>
      </c>
      <c r="U297" s="52">
        <f t="shared" si="165"/>
        <v>0</v>
      </c>
      <c r="V297" s="180">
        <f t="shared" ref="V297" si="166">SUM(B297:U297)</f>
        <v>9.4500000000000001E-2</v>
      </c>
      <c r="W297" s="161">
        <f t="shared" ref="W297" si="167">V297/20</f>
        <v>4.725E-3</v>
      </c>
    </row>
    <row r="298" spans="1:23" s="99" customFormat="1" ht="38.25">
      <c r="A298" s="200" t="s">
        <v>1360</v>
      </c>
      <c r="B298" s="52">
        <v>0</v>
      </c>
      <c r="C298" s="52">
        <v>0</v>
      </c>
      <c r="D298" s="52">
        <v>0</v>
      </c>
      <c r="E298" s="52">
        <v>0</v>
      </c>
      <c r="F298" s="52">
        <v>0</v>
      </c>
      <c r="G298" s="52">
        <v>0</v>
      </c>
      <c r="H298" s="52">
        <v>0</v>
      </c>
      <c r="I298" s="52">
        <v>0</v>
      </c>
      <c r="J298" s="52">
        <v>0</v>
      </c>
      <c r="K298" s="52">
        <v>0</v>
      </c>
      <c r="L298" s="52">
        <v>0</v>
      </c>
      <c r="M298" s="52">
        <v>0</v>
      </c>
      <c r="N298" s="52">
        <v>0</v>
      </c>
      <c r="O298" s="52">
        <v>0</v>
      </c>
      <c r="P298" s="52">
        <v>0</v>
      </c>
      <c r="Q298" s="52">
        <v>0</v>
      </c>
      <c r="R298" s="52">
        <v>0</v>
      </c>
      <c r="S298" s="52">
        <v>0</v>
      </c>
      <c r="T298" s="52">
        <v>0</v>
      </c>
      <c r="U298" s="52">
        <v>0</v>
      </c>
      <c r="V298" s="180">
        <f t="shared" ref="V298" si="168">SUM(B298:U298)</f>
        <v>0</v>
      </c>
      <c r="W298" s="161">
        <f t="shared" ref="W298:W300" si="169">V298/20</f>
        <v>0</v>
      </c>
    </row>
    <row r="299" spans="1:23" ht="25.5">
      <c r="A299" s="377" t="s">
        <v>1350</v>
      </c>
      <c r="B299" s="52">
        <f>B$176</f>
        <v>4.0500000000000001E-2</v>
      </c>
      <c r="C299" s="52">
        <f t="shared" ref="C299:U299" si="170">C$176</f>
        <v>7.6275000000000009E-2</v>
      </c>
      <c r="D299" s="52">
        <f t="shared" si="170"/>
        <v>7.6275000000000009E-2</v>
      </c>
      <c r="E299" s="52">
        <f t="shared" si="170"/>
        <v>4.0500000000000001E-2</v>
      </c>
      <c r="F299" s="52">
        <f t="shared" si="170"/>
        <v>7.6275000000000009E-2</v>
      </c>
      <c r="G299" s="52">
        <f t="shared" si="170"/>
        <v>7.6275000000000009E-2</v>
      </c>
      <c r="H299" s="52">
        <f t="shared" si="170"/>
        <v>4.0500000000000001E-2</v>
      </c>
      <c r="I299" s="52">
        <f t="shared" si="170"/>
        <v>7.6275000000000009E-2</v>
      </c>
      <c r="J299" s="52">
        <f t="shared" si="170"/>
        <v>7.6275000000000009E-2</v>
      </c>
      <c r="K299" s="52">
        <f t="shared" si="170"/>
        <v>4.0500000000000001E-2</v>
      </c>
      <c r="L299" s="52">
        <f t="shared" si="170"/>
        <v>7.6275000000000009E-2</v>
      </c>
      <c r="M299" s="52">
        <f t="shared" si="170"/>
        <v>7.6275000000000009E-2</v>
      </c>
      <c r="N299" s="52">
        <f t="shared" si="170"/>
        <v>4.0500000000000001E-2</v>
      </c>
      <c r="O299" s="52">
        <f t="shared" si="170"/>
        <v>7.6275000000000009E-2</v>
      </c>
      <c r="P299" s="52">
        <f t="shared" si="170"/>
        <v>7.6275000000000009E-2</v>
      </c>
      <c r="Q299" s="52">
        <f t="shared" si="170"/>
        <v>4.0500000000000001E-2</v>
      </c>
      <c r="R299" s="52">
        <f t="shared" si="170"/>
        <v>7.6275000000000009E-2</v>
      </c>
      <c r="S299" s="52">
        <f t="shared" si="170"/>
        <v>7.6275000000000009E-2</v>
      </c>
      <c r="T299" s="52">
        <f t="shared" si="170"/>
        <v>4.0500000000000001E-2</v>
      </c>
      <c r="U299" s="52">
        <f t="shared" si="170"/>
        <v>7.6275000000000009E-2</v>
      </c>
      <c r="V299" s="180">
        <f t="shared" ref="V299" si="171">SUM(B299:U299)</f>
        <v>1.2750750000000002</v>
      </c>
      <c r="W299" s="161">
        <f t="shared" si="169"/>
        <v>6.3753750000000012E-2</v>
      </c>
    </row>
    <row r="300" spans="1:23" s="99" customFormat="1">
      <c r="A300" s="131" t="s">
        <v>1339</v>
      </c>
      <c r="B300" s="52">
        <v>0</v>
      </c>
      <c r="C300" s="52">
        <v>0</v>
      </c>
      <c r="D300" s="52">
        <v>0</v>
      </c>
      <c r="E300" s="52">
        <v>0</v>
      </c>
      <c r="F300" s="52">
        <v>0</v>
      </c>
      <c r="G300" s="52">
        <v>0</v>
      </c>
      <c r="H300" s="52">
        <v>0</v>
      </c>
      <c r="I300" s="52">
        <v>0</v>
      </c>
      <c r="J300" s="52">
        <v>0</v>
      </c>
      <c r="K300" s="52">
        <v>0</v>
      </c>
      <c r="L300" s="52">
        <v>0</v>
      </c>
      <c r="M300" s="52">
        <v>0</v>
      </c>
      <c r="N300" s="52">
        <v>0</v>
      </c>
      <c r="O300" s="52">
        <v>0</v>
      </c>
      <c r="P300" s="52">
        <v>0</v>
      </c>
      <c r="Q300" s="52">
        <v>0</v>
      </c>
      <c r="R300" s="52">
        <v>0</v>
      </c>
      <c r="S300" s="52">
        <v>0</v>
      </c>
      <c r="T300" s="52">
        <v>0</v>
      </c>
      <c r="U300" s="52">
        <v>0</v>
      </c>
      <c r="V300" s="180">
        <f t="shared" ref="V300" si="172">SUM(B300:U300)</f>
        <v>0</v>
      </c>
      <c r="W300" s="161">
        <f t="shared" si="169"/>
        <v>0</v>
      </c>
    </row>
    <row r="301" spans="1:23" s="99" customFormat="1">
      <c r="A301" s="276"/>
      <c r="B301" s="52"/>
      <c r="C301" s="52"/>
      <c r="D301" s="52"/>
      <c r="E301" s="52"/>
      <c r="F301" s="52"/>
      <c r="G301" s="52"/>
      <c r="H301" s="52"/>
      <c r="I301" s="52"/>
      <c r="J301" s="52"/>
      <c r="K301" s="52"/>
      <c r="L301" s="52"/>
      <c r="M301" s="52"/>
      <c r="N301" s="52"/>
      <c r="O301" s="52"/>
      <c r="P301" s="52"/>
      <c r="Q301" s="52"/>
      <c r="R301" s="52"/>
      <c r="S301" s="52"/>
      <c r="T301" s="52"/>
      <c r="U301" s="52"/>
      <c r="V301" s="180"/>
      <c r="W301" s="161"/>
    </row>
    <row r="302" spans="1:23" s="99" customFormat="1">
      <c r="A302" s="197" t="s">
        <v>18</v>
      </c>
      <c r="B302" s="52"/>
      <c r="C302" s="52"/>
      <c r="D302" s="52"/>
      <c r="E302" s="52"/>
      <c r="F302" s="52"/>
      <c r="G302" s="52"/>
      <c r="H302" s="52"/>
      <c r="I302" s="52"/>
      <c r="J302" s="52"/>
      <c r="K302" s="52"/>
      <c r="L302" s="52"/>
      <c r="M302" s="52"/>
      <c r="N302" s="52"/>
      <c r="O302" s="52"/>
      <c r="P302" s="52"/>
      <c r="Q302" s="52"/>
      <c r="R302" s="52"/>
      <c r="S302" s="52"/>
      <c r="T302" s="52"/>
      <c r="U302" s="52"/>
      <c r="V302" s="180"/>
      <c r="W302" s="161"/>
    </row>
    <row r="303" spans="1:23" s="99" customFormat="1">
      <c r="A303" s="131" t="s">
        <v>1339</v>
      </c>
      <c r="B303" s="52">
        <v>0</v>
      </c>
      <c r="C303" s="52">
        <v>0</v>
      </c>
      <c r="D303" s="52">
        <v>0</v>
      </c>
      <c r="E303" s="52">
        <v>0</v>
      </c>
      <c r="F303" s="52">
        <v>0</v>
      </c>
      <c r="G303" s="52">
        <v>0</v>
      </c>
      <c r="H303" s="52">
        <v>0</v>
      </c>
      <c r="I303" s="52">
        <v>0</v>
      </c>
      <c r="J303" s="52">
        <v>0</v>
      </c>
      <c r="K303" s="52">
        <v>0</v>
      </c>
      <c r="L303" s="52">
        <v>0</v>
      </c>
      <c r="M303" s="52">
        <v>0</v>
      </c>
      <c r="N303" s="52">
        <v>0</v>
      </c>
      <c r="O303" s="52">
        <v>0</v>
      </c>
      <c r="P303" s="52">
        <v>0</v>
      </c>
      <c r="Q303" s="52">
        <v>0</v>
      </c>
      <c r="R303" s="52">
        <v>0</v>
      </c>
      <c r="S303" s="52">
        <v>0</v>
      </c>
      <c r="T303" s="52">
        <v>0</v>
      </c>
      <c r="U303" s="52">
        <v>0</v>
      </c>
      <c r="V303" s="180">
        <f>SUM(B303:U303)</f>
        <v>0</v>
      </c>
      <c r="W303" s="161">
        <f>V303/20</f>
        <v>0</v>
      </c>
    </row>
    <row r="304" spans="1:23" s="99" customFormat="1">
      <c r="A304" s="100"/>
      <c r="B304" s="52"/>
      <c r="C304" s="52"/>
      <c r="D304" s="52"/>
      <c r="E304" s="52"/>
      <c r="F304" s="52"/>
      <c r="G304" s="52"/>
      <c r="H304" s="52"/>
      <c r="I304" s="52"/>
      <c r="J304" s="52"/>
      <c r="K304" s="52"/>
      <c r="L304" s="52"/>
      <c r="M304" s="52"/>
      <c r="N304" s="52"/>
      <c r="O304" s="52"/>
      <c r="P304" s="52"/>
      <c r="Q304" s="52"/>
      <c r="R304" s="52"/>
      <c r="S304" s="52"/>
      <c r="T304" s="52"/>
      <c r="U304" s="52"/>
      <c r="V304" s="180"/>
      <c r="W304" s="161"/>
    </row>
    <row r="305" spans="1:23" s="99" customFormat="1">
      <c r="A305" s="197" t="s">
        <v>1340</v>
      </c>
      <c r="B305" s="52"/>
      <c r="C305" s="52"/>
      <c r="D305" s="52"/>
      <c r="E305" s="52"/>
      <c r="F305" s="52"/>
      <c r="G305" s="52"/>
      <c r="H305" s="52"/>
      <c r="I305" s="52"/>
      <c r="J305" s="52"/>
      <c r="K305" s="52"/>
      <c r="L305" s="52"/>
      <c r="M305" s="52"/>
      <c r="N305" s="52"/>
      <c r="O305" s="52"/>
      <c r="P305" s="52"/>
      <c r="Q305" s="52"/>
      <c r="R305" s="52"/>
      <c r="S305" s="52"/>
      <c r="T305" s="52"/>
      <c r="U305" s="52"/>
      <c r="V305" s="180"/>
      <c r="W305" s="161"/>
    </row>
    <row r="306" spans="1:23">
      <c r="A306" s="100" t="s">
        <v>680</v>
      </c>
      <c r="B306" s="52">
        <f>B303</f>
        <v>0</v>
      </c>
      <c r="C306" s="52">
        <f t="shared" ref="C306:U306" si="173">C303</f>
        <v>0</v>
      </c>
      <c r="D306" s="52">
        <f t="shared" si="173"/>
        <v>0</v>
      </c>
      <c r="E306" s="52">
        <f t="shared" si="173"/>
        <v>0</v>
      </c>
      <c r="F306" s="52">
        <f t="shared" si="173"/>
        <v>0</v>
      </c>
      <c r="G306" s="52">
        <f t="shared" si="173"/>
        <v>0</v>
      </c>
      <c r="H306" s="52">
        <f t="shared" si="173"/>
        <v>0</v>
      </c>
      <c r="I306" s="52">
        <f t="shared" si="173"/>
        <v>0</v>
      </c>
      <c r="J306" s="52">
        <f t="shared" si="173"/>
        <v>0</v>
      </c>
      <c r="K306" s="52">
        <f t="shared" si="173"/>
        <v>0</v>
      </c>
      <c r="L306" s="52">
        <f t="shared" si="173"/>
        <v>0</v>
      </c>
      <c r="M306" s="52">
        <f t="shared" si="173"/>
        <v>0</v>
      </c>
      <c r="N306" s="52">
        <f t="shared" si="173"/>
        <v>0</v>
      </c>
      <c r="O306" s="52">
        <f t="shared" si="173"/>
        <v>0</v>
      </c>
      <c r="P306" s="52">
        <f t="shared" si="173"/>
        <v>0</v>
      </c>
      <c r="Q306" s="52">
        <f t="shared" si="173"/>
        <v>0</v>
      </c>
      <c r="R306" s="52">
        <f t="shared" si="173"/>
        <v>0</v>
      </c>
      <c r="S306" s="52">
        <f t="shared" si="173"/>
        <v>0</v>
      </c>
      <c r="T306" s="52">
        <f t="shared" si="173"/>
        <v>0</v>
      </c>
      <c r="U306" s="52">
        <f t="shared" si="173"/>
        <v>0</v>
      </c>
      <c r="V306" s="180">
        <f t="shared" ref="V306:V307" si="174">SUM(B306:U306)</f>
        <v>0</v>
      </c>
      <c r="W306" s="161">
        <f t="shared" ref="W306:W307" si="175">V306/20</f>
        <v>0</v>
      </c>
    </row>
    <row r="307" spans="1:23">
      <c r="A307" s="100" t="s">
        <v>679</v>
      </c>
      <c r="B307" s="52">
        <f>SUM(B297:B300)</f>
        <v>5.3999999999999999E-2</v>
      </c>
      <c r="C307" s="52">
        <f t="shared" ref="C307:U307" si="176">SUM(C297:C300)</f>
        <v>7.6275000000000009E-2</v>
      </c>
      <c r="D307" s="52">
        <f t="shared" si="176"/>
        <v>7.6275000000000009E-2</v>
      </c>
      <c r="E307" s="52">
        <f t="shared" si="176"/>
        <v>5.3999999999999999E-2</v>
      </c>
      <c r="F307" s="52">
        <f t="shared" si="176"/>
        <v>7.6275000000000009E-2</v>
      </c>
      <c r="G307" s="52">
        <f t="shared" si="176"/>
        <v>7.6275000000000009E-2</v>
      </c>
      <c r="H307" s="52">
        <f t="shared" si="176"/>
        <v>5.3999999999999999E-2</v>
      </c>
      <c r="I307" s="52">
        <f t="shared" si="176"/>
        <v>7.6275000000000009E-2</v>
      </c>
      <c r="J307" s="52">
        <f t="shared" si="176"/>
        <v>7.6275000000000009E-2</v>
      </c>
      <c r="K307" s="52">
        <f t="shared" si="176"/>
        <v>5.3999999999999999E-2</v>
      </c>
      <c r="L307" s="52">
        <f t="shared" si="176"/>
        <v>7.6275000000000009E-2</v>
      </c>
      <c r="M307" s="52">
        <f t="shared" si="176"/>
        <v>7.6275000000000009E-2</v>
      </c>
      <c r="N307" s="52">
        <f t="shared" si="176"/>
        <v>5.3999999999999999E-2</v>
      </c>
      <c r="O307" s="52">
        <f t="shared" si="176"/>
        <v>7.6275000000000009E-2</v>
      </c>
      <c r="P307" s="52">
        <f t="shared" si="176"/>
        <v>7.6275000000000009E-2</v>
      </c>
      <c r="Q307" s="52">
        <f t="shared" si="176"/>
        <v>5.3999999999999999E-2</v>
      </c>
      <c r="R307" s="52">
        <f t="shared" si="176"/>
        <v>7.6275000000000009E-2</v>
      </c>
      <c r="S307" s="52">
        <f t="shared" si="176"/>
        <v>7.6275000000000009E-2</v>
      </c>
      <c r="T307" s="52">
        <f t="shared" si="176"/>
        <v>5.3999999999999999E-2</v>
      </c>
      <c r="U307" s="52">
        <f t="shared" si="176"/>
        <v>7.6275000000000009E-2</v>
      </c>
      <c r="V307" s="180">
        <f t="shared" si="174"/>
        <v>1.3695750000000004</v>
      </c>
      <c r="W307" s="161">
        <f t="shared" si="175"/>
        <v>6.8478750000000019E-2</v>
      </c>
    </row>
    <row r="308" spans="1:23">
      <c r="A308" s="263" t="s">
        <v>1149</v>
      </c>
      <c r="B308" s="34">
        <f>SUM(B306:B307)</f>
        <v>5.3999999999999999E-2</v>
      </c>
      <c r="C308" s="34">
        <f t="shared" ref="C308:U308" si="177">SUM(C306:C307)</f>
        <v>7.6275000000000009E-2</v>
      </c>
      <c r="D308" s="34">
        <f t="shared" si="177"/>
        <v>7.6275000000000009E-2</v>
      </c>
      <c r="E308" s="34">
        <f t="shared" si="177"/>
        <v>5.3999999999999999E-2</v>
      </c>
      <c r="F308" s="34">
        <f t="shared" si="177"/>
        <v>7.6275000000000009E-2</v>
      </c>
      <c r="G308" s="34">
        <f t="shared" si="177"/>
        <v>7.6275000000000009E-2</v>
      </c>
      <c r="H308" s="34">
        <f t="shared" si="177"/>
        <v>5.3999999999999999E-2</v>
      </c>
      <c r="I308" s="34">
        <f t="shared" si="177"/>
        <v>7.6275000000000009E-2</v>
      </c>
      <c r="J308" s="34">
        <f t="shared" si="177"/>
        <v>7.6275000000000009E-2</v>
      </c>
      <c r="K308" s="34">
        <f t="shared" si="177"/>
        <v>5.3999999999999999E-2</v>
      </c>
      <c r="L308" s="34">
        <f t="shared" si="177"/>
        <v>7.6275000000000009E-2</v>
      </c>
      <c r="M308" s="34">
        <f t="shared" si="177"/>
        <v>7.6275000000000009E-2</v>
      </c>
      <c r="N308" s="34">
        <f t="shared" si="177"/>
        <v>5.3999999999999999E-2</v>
      </c>
      <c r="O308" s="34">
        <f t="shared" si="177"/>
        <v>7.6275000000000009E-2</v>
      </c>
      <c r="P308" s="34">
        <f t="shared" si="177"/>
        <v>7.6275000000000009E-2</v>
      </c>
      <c r="Q308" s="34">
        <f t="shared" si="177"/>
        <v>5.3999999999999999E-2</v>
      </c>
      <c r="R308" s="34">
        <f t="shared" si="177"/>
        <v>7.6275000000000009E-2</v>
      </c>
      <c r="S308" s="34">
        <f t="shared" si="177"/>
        <v>7.6275000000000009E-2</v>
      </c>
      <c r="T308" s="34">
        <f t="shared" si="177"/>
        <v>5.3999999999999999E-2</v>
      </c>
      <c r="U308" s="34">
        <f t="shared" si="177"/>
        <v>7.6275000000000009E-2</v>
      </c>
      <c r="V308" s="182">
        <f t="shared" ref="V308" si="178">SUM(B308:U308)</f>
        <v>1.3695750000000004</v>
      </c>
      <c r="W308" s="283">
        <f t="shared" ref="W308" si="179">V308/20</f>
        <v>6.8478750000000019E-2</v>
      </c>
    </row>
    <row r="309" spans="1:23">
      <c r="A309" s="269" t="s">
        <v>123</v>
      </c>
      <c r="B309" s="52">
        <v>0.96618357487922713</v>
      </c>
      <c r="C309" s="52">
        <v>0.93351070036640305</v>
      </c>
      <c r="D309" s="52">
        <v>0.90194270566802237</v>
      </c>
      <c r="E309" s="52">
        <v>0.87144222769857238</v>
      </c>
      <c r="F309" s="52">
        <v>0.84197316685852419</v>
      </c>
      <c r="G309" s="52">
        <v>0.81350064430775282</v>
      </c>
      <c r="H309" s="52">
        <v>0.78599096068381913</v>
      </c>
      <c r="I309" s="52">
        <v>0.75941155621625056</v>
      </c>
      <c r="J309" s="52">
        <v>0.73373097218961414</v>
      </c>
      <c r="K309" s="52">
        <v>0.70891881370977217</v>
      </c>
      <c r="L309" s="52">
        <v>0.68494571372924851</v>
      </c>
      <c r="M309" s="52">
        <v>0.66178329828912896</v>
      </c>
      <c r="N309" s="52">
        <v>0.63940415293635666</v>
      </c>
      <c r="O309" s="52">
        <v>0.61778179027667302</v>
      </c>
      <c r="P309" s="52">
        <v>0.59689061862480497</v>
      </c>
      <c r="Q309" s="52">
        <v>0.57670591171478747</v>
      </c>
      <c r="R309" s="52">
        <v>0.55720377943457733</v>
      </c>
      <c r="S309" s="52">
        <v>0.53836113955031628</v>
      </c>
      <c r="T309" s="52">
        <v>0.52015569038677911</v>
      </c>
      <c r="U309" s="52">
        <v>0.50256588443167061</v>
      </c>
      <c r="V309" s="179"/>
      <c r="W309" s="140"/>
    </row>
    <row r="310" spans="1:23" ht="26.25" thickBot="1">
      <c r="A310" s="43" t="s">
        <v>1148</v>
      </c>
      <c r="B310" s="38">
        <f>B309*B308</f>
        <v>5.2173913043478265E-2</v>
      </c>
      <c r="C310" s="38">
        <f t="shared" ref="C310:U310" si="180">C309*C308</f>
        <v>7.1203528670447408E-2</v>
      </c>
      <c r="D310" s="38">
        <f t="shared" si="180"/>
        <v>6.8795679874828417E-2</v>
      </c>
      <c r="E310" s="38">
        <f t="shared" si="180"/>
        <v>4.7057880295722908E-2</v>
      </c>
      <c r="F310" s="38">
        <f t="shared" si="180"/>
        <v>6.4221503302133942E-2</v>
      </c>
      <c r="G310" s="38">
        <f t="shared" si="180"/>
        <v>6.2049761644573855E-2</v>
      </c>
      <c r="H310" s="38">
        <f t="shared" si="180"/>
        <v>4.2443511876926229E-2</v>
      </c>
      <c r="I310" s="38">
        <f t="shared" si="180"/>
        <v>5.7924116450394518E-2</v>
      </c>
      <c r="J310" s="38">
        <f t="shared" si="180"/>
        <v>5.5965329903762823E-2</v>
      </c>
      <c r="K310" s="38">
        <f t="shared" si="180"/>
        <v>3.8281615940327696E-2</v>
      </c>
      <c r="L310" s="38">
        <f t="shared" si="180"/>
        <v>5.2244234314698434E-2</v>
      </c>
      <c r="M310" s="38">
        <f t="shared" si="180"/>
        <v>5.0477521077003318E-2</v>
      </c>
      <c r="N310" s="38">
        <f t="shared" si="180"/>
        <v>3.452782425856326E-2</v>
      </c>
      <c r="O310" s="38">
        <f t="shared" si="180"/>
        <v>4.712130605335324E-2</v>
      </c>
      <c r="P310" s="38">
        <f t="shared" si="180"/>
        <v>4.5527831935607006E-2</v>
      </c>
      <c r="Q310" s="38">
        <f t="shared" si="180"/>
        <v>3.1142119232598523E-2</v>
      </c>
      <c r="R310" s="38">
        <f t="shared" si="180"/>
        <v>4.250071827637239E-2</v>
      </c>
      <c r="S310" s="38">
        <f t="shared" si="180"/>
        <v>4.1063495919200381E-2</v>
      </c>
      <c r="T310" s="38">
        <f t="shared" si="180"/>
        <v>2.8088407280886071E-2</v>
      </c>
      <c r="U310" s="38">
        <f t="shared" si="180"/>
        <v>3.8333212835025679E-2</v>
      </c>
      <c r="V310" s="378">
        <f t="shared" ref="V310" si="181">SUM(B310:U310)</f>
        <v>0.97114351218590445</v>
      </c>
      <c r="W310" s="146"/>
    </row>
    <row r="311" spans="1:23" s="99" customFormat="1" ht="15.75" customHeight="1" thickBot="1">
      <c r="A311" s="4"/>
      <c r="B311" s="100"/>
      <c r="C311" s="100"/>
      <c r="D311" s="100"/>
      <c r="E311" s="100"/>
      <c r="F311" s="100"/>
      <c r="G311" s="100"/>
      <c r="H311" s="100"/>
      <c r="I311" s="100"/>
      <c r="J311" s="100"/>
      <c r="K311" s="100"/>
      <c r="L311" s="100"/>
      <c r="M311" s="100"/>
      <c r="N311" s="100"/>
      <c r="O311" s="100"/>
      <c r="P311" s="100"/>
      <c r="Q311" s="100"/>
      <c r="R311" s="100"/>
      <c r="S311" s="100"/>
      <c r="T311" s="100"/>
      <c r="U311" s="100"/>
      <c r="V311" s="100"/>
      <c r="W311" s="81"/>
    </row>
    <row r="312" spans="1:23" ht="17.25" customHeight="1">
      <c r="A312" s="274" t="s">
        <v>1057</v>
      </c>
      <c r="B312" s="188"/>
      <c r="C312" s="188"/>
      <c r="D312" s="188"/>
      <c r="E312" s="188"/>
      <c r="F312" s="188"/>
      <c r="G312" s="188"/>
      <c r="H312" s="188"/>
      <c r="I312" s="188"/>
      <c r="J312" s="188"/>
      <c r="K312" s="188"/>
      <c r="L312" s="188"/>
      <c r="M312" s="188"/>
      <c r="N312" s="188"/>
      <c r="O312" s="188"/>
      <c r="P312" s="188"/>
      <c r="Q312" s="188"/>
      <c r="R312" s="188"/>
      <c r="S312" s="188"/>
      <c r="T312" s="188"/>
      <c r="U312" s="188"/>
      <c r="V312" s="178"/>
      <c r="W312" s="130"/>
    </row>
    <row r="313" spans="1:23" ht="12.75" customHeight="1">
      <c r="A313" s="152"/>
      <c r="B313" s="100"/>
      <c r="C313" s="100"/>
      <c r="D313" s="100"/>
      <c r="E313" s="100"/>
      <c r="F313" s="100"/>
      <c r="G313" s="100"/>
      <c r="H313" s="100"/>
      <c r="I313" s="100"/>
      <c r="J313" s="100"/>
      <c r="K313" s="100"/>
      <c r="L313" s="100"/>
      <c r="M313" s="100"/>
      <c r="N313" s="100"/>
      <c r="O313" s="100"/>
      <c r="P313" s="100"/>
      <c r="Q313" s="100"/>
      <c r="R313" s="100"/>
      <c r="S313" s="100"/>
      <c r="T313" s="100"/>
      <c r="U313" s="100"/>
      <c r="V313" s="179"/>
      <c r="W313" s="140"/>
    </row>
    <row r="314" spans="1:23">
      <c r="A314" s="197" t="s">
        <v>17</v>
      </c>
      <c r="B314" s="100"/>
      <c r="C314" s="100"/>
      <c r="D314" s="100"/>
      <c r="E314" s="100"/>
      <c r="F314" s="100"/>
      <c r="G314" s="100"/>
      <c r="H314" s="100"/>
      <c r="I314" s="100"/>
      <c r="J314" s="100"/>
      <c r="K314" s="100"/>
      <c r="L314" s="100"/>
      <c r="M314" s="100"/>
      <c r="N314" s="100"/>
      <c r="O314" s="100"/>
      <c r="P314" s="100"/>
      <c r="Q314" s="100"/>
      <c r="R314" s="100"/>
      <c r="S314" s="100"/>
      <c r="T314" s="100"/>
      <c r="U314" s="100"/>
      <c r="V314" s="179"/>
      <c r="W314" s="140"/>
    </row>
    <row r="315" spans="1:23" ht="51">
      <c r="A315" s="200" t="s">
        <v>1357</v>
      </c>
      <c r="B315" s="52">
        <f>(B$220+B$175+B$133+B$65)*0.7</f>
        <v>0.17009999999999997</v>
      </c>
      <c r="C315" s="52">
        <f t="shared" ref="C315:U315" si="182">(C$220+C$175+C$133+C$65)*0.7</f>
        <v>0</v>
      </c>
      <c r="D315" s="52">
        <f t="shared" si="182"/>
        <v>0</v>
      </c>
      <c r="E315" s="52">
        <f t="shared" si="182"/>
        <v>0.17482499999999998</v>
      </c>
      <c r="F315" s="52">
        <f t="shared" si="182"/>
        <v>0</v>
      </c>
      <c r="G315" s="52">
        <f t="shared" si="182"/>
        <v>0</v>
      </c>
      <c r="H315" s="52">
        <f t="shared" si="182"/>
        <v>0.16537499999999999</v>
      </c>
      <c r="I315" s="52">
        <f t="shared" si="182"/>
        <v>0</v>
      </c>
      <c r="J315" s="52">
        <f t="shared" si="182"/>
        <v>9.4500000000000001E-3</v>
      </c>
      <c r="K315" s="52">
        <f t="shared" si="182"/>
        <v>0.16537499999999999</v>
      </c>
      <c r="L315" s="52">
        <f t="shared" si="182"/>
        <v>0</v>
      </c>
      <c r="M315" s="52">
        <f t="shared" si="182"/>
        <v>0</v>
      </c>
      <c r="N315" s="52">
        <f t="shared" si="182"/>
        <v>0.16537499999999999</v>
      </c>
      <c r="O315" s="52">
        <f t="shared" si="182"/>
        <v>9.4500000000000001E-3</v>
      </c>
      <c r="P315" s="52">
        <f t="shared" si="182"/>
        <v>0</v>
      </c>
      <c r="Q315" s="52">
        <f t="shared" si="182"/>
        <v>0.16537499999999999</v>
      </c>
      <c r="R315" s="52">
        <f t="shared" si="182"/>
        <v>0</v>
      </c>
      <c r="S315" s="52">
        <f t="shared" si="182"/>
        <v>0</v>
      </c>
      <c r="T315" s="52">
        <f t="shared" si="182"/>
        <v>0.16537499999999999</v>
      </c>
      <c r="U315" s="52">
        <f t="shared" si="182"/>
        <v>0</v>
      </c>
      <c r="V315" s="180">
        <f t="shared" ref="V315" si="183">SUM(B315:U315)</f>
        <v>1.1907000000000001</v>
      </c>
      <c r="W315" s="161">
        <f t="shared" ref="W315" si="184">V315/20</f>
        <v>5.9535000000000005E-2</v>
      </c>
    </row>
    <row r="316" spans="1:23" s="99" customFormat="1" ht="38.25">
      <c r="A316" s="200" t="s">
        <v>1361</v>
      </c>
      <c r="B316" s="52">
        <f>'Scenario 2 Assumptions'!C385*'Scenario 2 Assumptions'!E385</f>
        <v>0.10125599999999998</v>
      </c>
      <c r="C316" s="52">
        <v>0</v>
      </c>
      <c r="D316" s="52">
        <v>0</v>
      </c>
      <c r="E316" s="52">
        <v>0</v>
      </c>
      <c r="F316" s="52">
        <v>0</v>
      </c>
      <c r="G316" s="52">
        <v>0</v>
      </c>
      <c r="H316" s="52">
        <v>0</v>
      </c>
      <c r="I316" s="52">
        <v>0</v>
      </c>
      <c r="J316" s="52">
        <v>0</v>
      </c>
      <c r="K316" s="52">
        <v>0</v>
      </c>
      <c r="L316" s="52">
        <v>0</v>
      </c>
      <c r="M316" s="52">
        <v>0</v>
      </c>
      <c r="N316" s="52">
        <v>0</v>
      </c>
      <c r="O316" s="52">
        <v>0</v>
      </c>
      <c r="P316" s="52">
        <v>0</v>
      </c>
      <c r="Q316" s="52">
        <v>0</v>
      </c>
      <c r="R316" s="52">
        <v>0</v>
      </c>
      <c r="S316" s="52">
        <v>0</v>
      </c>
      <c r="T316" s="52">
        <v>0</v>
      </c>
      <c r="U316" s="52">
        <v>0</v>
      </c>
      <c r="V316" s="180">
        <f t="shared" ref="V316" si="185">SUM(B316:U316)</f>
        <v>0.10125599999999998</v>
      </c>
      <c r="W316" s="161">
        <f t="shared" ref="W316" si="186">V316/20</f>
        <v>5.0627999999999992E-3</v>
      </c>
    </row>
    <row r="317" spans="1:23" s="99" customFormat="1" ht="25.5">
      <c r="A317" s="377" t="s">
        <v>1350</v>
      </c>
      <c r="B317" s="52">
        <f>B$299+B$281+B$263+B$243</f>
        <v>0.66150000000000031</v>
      </c>
      <c r="C317" s="52">
        <f t="shared" ref="C317:U317" si="187">C$299+C$281+C$263+C$243</f>
        <v>0.65677499999999989</v>
      </c>
      <c r="D317" s="52">
        <f t="shared" si="187"/>
        <v>0.65002499999999985</v>
      </c>
      <c r="E317" s="52">
        <f t="shared" si="187"/>
        <v>0.66149999999999998</v>
      </c>
      <c r="F317" s="52">
        <f t="shared" si="187"/>
        <v>0.65677499999999989</v>
      </c>
      <c r="G317" s="52">
        <f t="shared" si="187"/>
        <v>0.65002499999999985</v>
      </c>
      <c r="H317" s="52">
        <f t="shared" si="187"/>
        <v>0.66149999999999998</v>
      </c>
      <c r="I317" s="52">
        <f t="shared" si="187"/>
        <v>0.65002499999999985</v>
      </c>
      <c r="J317" s="52">
        <f t="shared" si="187"/>
        <v>0.65002499999999996</v>
      </c>
      <c r="K317" s="52">
        <f t="shared" si="187"/>
        <v>0.66149999999999998</v>
      </c>
      <c r="L317" s="52">
        <f t="shared" si="187"/>
        <v>0.65002499999999985</v>
      </c>
      <c r="M317" s="52">
        <f t="shared" si="187"/>
        <v>0.65002499999999985</v>
      </c>
      <c r="N317" s="52">
        <f t="shared" si="187"/>
        <v>0.66149999999999998</v>
      </c>
      <c r="O317" s="52">
        <f t="shared" si="187"/>
        <v>0.65002499999999996</v>
      </c>
      <c r="P317" s="52">
        <f t="shared" si="187"/>
        <v>0.65002499999999985</v>
      </c>
      <c r="Q317" s="52">
        <f t="shared" si="187"/>
        <v>0.65474999999999994</v>
      </c>
      <c r="R317" s="52">
        <f t="shared" si="187"/>
        <v>0.65002499999999985</v>
      </c>
      <c r="S317" s="52">
        <f t="shared" si="187"/>
        <v>0.65002499999999985</v>
      </c>
      <c r="T317" s="52">
        <f t="shared" si="187"/>
        <v>0.6682499999999999</v>
      </c>
      <c r="U317" s="52">
        <f t="shared" si="187"/>
        <v>0.65002499999999985</v>
      </c>
      <c r="V317" s="180">
        <f t="shared" ref="V317" si="188">SUM(B317:U317)</f>
        <v>13.094324999999998</v>
      </c>
      <c r="W317" s="161">
        <f t="shared" ref="W317" si="189">V317/20</f>
        <v>0.65471624999999989</v>
      </c>
    </row>
    <row r="318" spans="1:23">
      <c r="A318" s="131" t="s">
        <v>1339</v>
      </c>
      <c r="B318" s="52">
        <f>B$22</f>
        <v>24</v>
      </c>
      <c r="C318" s="52">
        <f t="shared" ref="C318:U318" si="190">C$22</f>
        <v>0</v>
      </c>
      <c r="D318" s="52">
        <f t="shared" si="190"/>
        <v>0</v>
      </c>
      <c r="E318" s="52">
        <f t="shared" si="190"/>
        <v>0</v>
      </c>
      <c r="F318" s="52">
        <f t="shared" si="190"/>
        <v>0</v>
      </c>
      <c r="G318" s="52">
        <f t="shared" si="190"/>
        <v>0</v>
      </c>
      <c r="H318" s="52">
        <f t="shared" si="190"/>
        <v>0</v>
      </c>
      <c r="I318" s="52">
        <f t="shared" si="190"/>
        <v>0</v>
      </c>
      <c r="J318" s="52">
        <f t="shared" si="190"/>
        <v>0</v>
      </c>
      <c r="K318" s="52">
        <f t="shared" si="190"/>
        <v>0</v>
      </c>
      <c r="L318" s="52">
        <f t="shared" si="190"/>
        <v>0</v>
      </c>
      <c r="M318" s="52">
        <f t="shared" si="190"/>
        <v>0</v>
      </c>
      <c r="N318" s="52">
        <f t="shared" si="190"/>
        <v>0</v>
      </c>
      <c r="O318" s="52">
        <f t="shared" si="190"/>
        <v>0</v>
      </c>
      <c r="P318" s="52">
        <f t="shared" si="190"/>
        <v>0</v>
      </c>
      <c r="Q318" s="52">
        <f t="shared" si="190"/>
        <v>0</v>
      </c>
      <c r="R318" s="52">
        <f t="shared" si="190"/>
        <v>0</v>
      </c>
      <c r="S318" s="52">
        <f t="shared" si="190"/>
        <v>0</v>
      </c>
      <c r="T318" s="52">
        <f t="shared" si="190"/>
        <v>0</v>
      </c>
      <c r="U318" s="52">
        <f t="shared" si="190"/>
        <v>0</v>
      </c>
      <c r="V318" s="180">
        <f t="shared" ref="V318" si="191">SUM(B318:U318)</f>
        <v>24</v>
      </c>
      <c r="W318" s="161">
        <f t="shared" ref="W318" si="192">V318/20</f>
        <v>1.2</v>
      </c>
    </row>
    <row r="319" spans="1:23">
      <c r="A319" s="276"/>
      <c r="B319" s="52"/>
      <c r="C319" s="52"/>
      <c r="D319" s="52"/>
      <c r="E319" s="52"/>
      <c r="F319" s="52"/>
      <c r="G319" s="52"/>
      <c r="H319" s="52"/>
      <c r="I319" s="52"/>
      <c r="J319" s="52"/>
      <c r="K319" s="52"/>
      <c r="L319" s="52"/>
      <c r="M319" s="52"/>
      <c r="N319" s="52"/>
      <c r="O319" s="52"/>
      <c r="P319" s="52"/>
      <c r="Q319" s="52"/>
      <c r="R319" s="52"/>
      <c r="S319" s="52"/>
      <c r="T319" s="52"/>
      <c r="U319" s="52"/>
      <c r="V319" s="180"/>
      <c r="W319" s="161"/>
    </row>
    <row r="320" spans="1:23">
      <c r="A320" s="197" t="s">
        <v>18</v>
      </c>
      <c r="B320" s="52"/>
      <c r="C320" s="52"/>
      <c r="D320" s="52"/>
      <c r="E320" s="52"/>
      <c r="F320" s="52"/>
      <c r="G320" s="52"/>
      <c r="H320" s="52"/>
      <c r="I320" s="52"/>
      <c r="J320" s="52"/>
      <c r="K320" s="52"/>
      <c r="L320" s="52"/>
      <c r="M320" s="52"/>
      <c r="N320" s="52"/>
      <c r="O320" s="52"/>
      <c r="P320" s="52"/>
      <c r="Q320" s="52"/>
      <c r="R320" s="52"/>
      <c r="S320" s="52"/>
      <c r="T320" s="52"/>
      <c r="U320" s="52"/>
      <c r="V320" s="180"/>
      <c r="W320" s="161"/>
    </row>
    <row r="321" spans="1:23">
      <c r="A321" s="131" t="s">
        <v>1339</v>
      </c>
      <c r="B321" s="52">
        <f t="shared" ref="B321:U321" si="193">B$50+B$53+B$267+B$285+B$306</f>
        <v>7.5465840517241381E-2</v>
      </c>
      <c r="C321" s="52">
        <f t="shared" si="193"/>
        <v>7.5465840517241381E-2</v>
      </c>
      <c r="D321" s="52">
        <f t="shared" si="193"/>
        <v>7.5465840517241381E-2</v>
      </c>
      <c r="E321" s="52">
        <f t="shared" si="193"/>
        <v>7.5465840517241381E-2</v>
      </c>
      <c r="F321" s="52">
        <f t="shared" si="193"/>
        <v>7.5465840517241381E-2</v>
      </c>
      <c r="G321" s="52">
        <f t="shared" si="193"/>
        <v>7.5465840517241381E-2</v>
      </c>
      <c r="H321" s="52">
        <f t="shared" si="193"/>
        <v>7.5465840517241381E-2</v>
      </c>
      <c r="I321" s="52">
        <f t="shared" si="193"/>
        <v>7.5465840517241381E-2</v>
      </c>
      <c r="J321" s="52">
        <f t="shared" si="193"/>
        <v>7.5465840517241381E-2</v>
      </c>
      <c r="K321" s="52">
        <f t="shared" si="193"/>
        <v>7.5465840517241381E-2</v>
      </c>
      <c r="L321" s="52">
        <f t="shared" si="193"/>
        <v>7.5465840517241381E-2</v>
      </c>
      <c r="M321" s="52">
        <f t="shared" si="193"/>
        <v>7.5465840517241381E-2</v>
      </c>
      <c r="N321" s="52">
        <f t="shared" si="193"/>
        <v>7.5465840517241381E-2</v>
      </c>
      <c r="O321" s="52">
        <f t="shared" si="193"/>
        <v>7.5465840517241381E-2</v>
      </c>
      <c r="P321" s="52">
        <f t="shared" si="193"/>
        <v>7.5465840517241381E-2</v>
      </c>
      <c r="Q321" s="52">
        <f t="shared" si="193"/>
        <v>7.5465840517241381E-2</v>
      </c>
      <c r="R321" s="52">
        <f t="shared" si="193"/>
        <v>7.5465840517241381E-2</v>
      </c>
      <c r="S321" s="52">
        <f t="shared" si="193"/>
        <v>7.5465840517241381E-2</v>
      </c>
      <c r="T321" s="52">
        <f t="shared" si="193"/>
        <v>7.5465840517241381E-2</v>
      </c>
      <c r="U321" s="52">
        <f t="shared" si="193"/>
        <v>7.5465840517241381E-2</v>
      </c>
      <c r="V321" s="180">
        <f t="shared" ref="V321" si="194">SUM(B321:U321)</f>
        <v>1.5093168103448282</v>
      </c>
      <c r="W321" s="161">
        <f t="shared" ref="W321" si="195">V321/20</f>
        <v>7.5465840517241409E-2</v>
      </c>
    </row>
    <row r="322" spans="1:23">
      <c r="A322" s="268"/>
      <c r="B322" s="52"/>
      <c r="C322" s="52"/>
      <c r="D322" s="52"/>
      <c r="E322" s="52"/>
      <c r="F322" s="52"/>
      <c r="G322" s="52"/>
      <c r="H322" s="52"/>
      <c r="I322" s="52"/>
      <c r="J322" s="52"/>
      <c r="K322" s="52"/>
      <c r="L322" s="52"/>
      <c r="M322" s="52"/>
      <c r="N322" s="52"/>
      <c r="O322" s="52"/>
      <c r="P322" s="52"/>
      <c r="Q322" s="52"/>
      <c r="R322" s="52"/>
      <c r="S322" s="52"/>
      <c r="T322" s="52"/>
      <c r="U322" s="52"/>
      <c r="V322" s="180"/>
      <c r="W322" s="161"/>
    </row>
    <row r="323" spans="1:23">
      <c r="A323" s="197" t="s">
        <v>1340</v>
      </c>
      <c r="B323" s="52"/>
      <c r="C323" s="52"/>
      <c r="D323" s="52"/>
      <c r="E323" s="52"/>
      <c r="F323" s="52"/>
      <c r="G323" s="52"/>
      <c r="H323" s="52"/>
      <c r="I323" s="52"/>
      <c r="J323" s="52"/>
      <c r="K323" s="52"/>
      <c r="L323" s="52"/>
      <c r="M323" s="52"/>
      <c r="N323" s="52"/>
      <c r="O323" s="52"/>
      <c r="P323" s="52"/>
      <c r="Q323" s="52"/>
      <c r="R323" s="52"/>
      <c r="S323" s="52"/>
      <c r="T323" s="52"/>
      <c r="U323" s="52"/>
      <c r="V323" s="180"/>
      <c r="W323" s="161"/>
    </row>
    <row r="324" spans="1:23">
      <c r="A324" s="100" t="s">
        <v>680</v>
      </c>
      <c r="B324" s="52">
        <f>B321</f>
        <v>7.5465840517241381E-2</v>
      </c>
      <c r="C324" s="52">
        <f t="shared" ref="C324:U324" si="196">C321</f>
        <v>7.5465840517241381E-2</v>
      </c>
      <c r="D324" s="52">
        <f t="shared" si="196"/>
        <v>7.5465840517241381E-2</v>
      </c>
      <c r="E324" s="52">
        <f t="shared" si="196"/>
        <v>7.5465840517241381E-2</v>
      </c>
      <c r="F324" s="52">
        <f t="shared" si="196"/>
        <v>7.5465840517241381E-2</v>
      </c>
      <c r="G324" s="52">
        <f t="shared" si="196"/>
        <v>7.5465840517241381E-2</v>
      </c>
      <c r="H324" s="52">
        <f t="shared" si="196"/>
        <v>7.5465840517241381E-2</v>
      </c>
      <c r="I324" s="52">
        <f t="shared" si="196"/>
        <v>7.5465840517241381E-2</v>
      </c>
      <c r="J324" s="52">
        <f t="shared" si="196"/>
        <v>7.5465840517241381E-2</v>
      </c>
      <c r="K324" s="52">
        <f t="shared" si="196"/>
        <v>7.5465840517241381E-2</v>
      </c>
      <c r="L324" s="52">
        <f t="shared" si="196"/>
        <v>7.5465840517241381E-2</v>
      </c>
      <c r="M324" s="52">
        <f t="shared" si="196"/>
        <v>7.5465840517241381E-2</v>
      </c>
      <c r="N324" s="52">
        <f t="shared" si="196"/>
        <v>7.5465840517241381E-2</v>
      </c>
      <c r="O324" s="52">
        <f t="shared" si="196"/>
        <v>7.5465840517241381E-2</v>
      </c>
      <c r="P324" s="52">
        <f t="shared" si="196"/>
        <v>7.5465840517241381E-2</v>
      </c>
      <c r="Q324" s="52">
        <f t="shared" si="196"/>
        <v>7.5465840517241381E-2</v>
      </c>
      <c r="R324" s="52">
        <f t="shared" si="196"/>
        <v>7.5465840517241381E-2</v>
      </c>
      <c r="S324" s="52">
        <f t="shared" si="196"/>
        <v>7.5465840517241381E-2</v>
      </c>
      <c r="T324" s="52">
        <f t="shared" si="196"/>
        <v>7.5465840517241381E-2</v>
      </c>
      <c r="U324" s="52">
        <f t="shared" si="196"/>
        <v>7.5465840517241381E-2</v>
      </c>
      <c r="V324" s="180">
        <f t="shared" ref="V324" si="197">SUM(B324:U324)</f>
        <v>1.5093168103448282</v>
      </c>
      <c r="W324" s="161">
        <f t="shared" ref="W324:W325" si="198">V324/20</f>
        <v>7.5465840517241409E-2</v>
      </c>
    </row>
    <row r="325" spans="1:23">
      <c r="A325" s="100" t="s">
        <v>679</v>
      </c>
      <c r="B325" s="52">
        <f>SUM(B315:B318)</f>
        <v>24.932856000000001</v>
      </c>
      <c r="C325" s="52">
        <f t="shared" ref="C325:U325" si="199">SUM(C315:C318)</f>
        <v>0.65677499999999989</v>
      </c>
      <c r="D325" s="52">
        <f t="shared" si="199"/>
        <v>0.65002499999999985</v>
      </c>
      <c r="E325" s="52">
        <f t="shared" si="199"/>
        <v>0.83632499999999999</v>
      </c>
      <c r="F325" s="52">
        <f t="shared" si="199"/>
        <v>0.65677499999999989</v>
      </c>
      <c r="G325" s="52">
        <f t="shared" si="199"/>
        <v>0.65002499999999985</v>
      </c>
      <c r="H325" s="52">
        <f t="shared" si="199"/>
        <v>0.82687500000000003</v>
      </c>
      <c r="I325" s="52">
        <f t="shared" si="199"/>
        <v>0.65002499999999985</v>
      </c>
      <c r="J325" s="52">
        <f t="shared" si="199"/>
        <v>0.65947499999999992</v>
      </c>
      <c r="K325" s="52">
        <f t="shared" si="199"/>
        <v>0.82687500000000003</v>
      </c>
      <c r="L325" s="52">
        <f t="shared" si="199"/>
        <v>0.65002499999999985</v>
      </c>
      <c r="M325" s="52">
        <f t="shared" si="199"/>
        <v>0.65002499999999985</v>
      </c>
      <c r="N325" s="52">
        <f t="shared" si="199"/>
        <v>0.82687500000000003</v>
      </c>
      <c r="O325" s="52">
        <f t="shared" si="199"/>
        <v>0.65947499999999992</v>
      </c>
      <c r="P325" s="52">
        <f t="shared" si="199"/>
        <v>0.65002499999999985</v>
      </c>
      <c r="Q325" s="52">
        <f t="shared" si="199"/>
        <v>0.82012499999999999</v>
      </c>
      <c r="R325" s="52">
        <f t="shared" si="199"/>
        <v>0.65002499999999985</v>
      </c>
      <c r="S325" s="52">
        <f t="shared" si="199"/>
        <v>0.65002499999999985</v>
      </c>
      <c r="T325" s="52">
        <f t="shared" si="199"/>
        <v>0.83362499999999984</v>
      </c>
      <c r="U325" s="52">
        <f t="shared" si="199"/>
        <v>0.65002499999999985</v>
      </c>
      <c r="V325" s="180">
        <f t="shared" ref="V325" si="200">SUM(B325:U325)</f>
        <v>38.386280999999997</v>
      </c>
      <c r="W325" s="161">
        <f t="shared" si="198"/>
        <v>1.9193140499999999</v>
      </c>
    </row>
    <row r="326" spans="1:23">
      <c r="A326" s="263" t="s">
        <v>1149</v>
      </c>
      <c r="B326" s="34">
        <f>SUM(B324:B325)</f>
        <v>25.008321840517244</v>
      </c>
      <c r="C326" s="34">
        <f t="shared" ref="C326:U326" si="201">SUM(C324:C325)</f>
        <v>0.73224084051724125</v>
      </c>
      <c r="D326" s="34">
        <f t="shared" si="201"/>
        <v>0.72549084051724122</v>
      </c>
      <c r="E326" s="34">
        <f t="shared" si="201"/>
        <v>0.91179084051724135</v>
      </c>
      <c r="F326" s="34">
        <f t="shared" si="201"/>
        <v>0.73224084051724125</v>
      </c>
      <c r="G326" s="34">
        <f t="shared" si="201"/>
        <v>0.72549084051724122</v>
      </c>
      <c r="H326" s="34">
        <f t="shared" si="201"/>
        <v>0.90234084051724139</v>
      </c>
      <c r="I326" s="34">
        <f t="shared" si="201"/>
        <v>0.72549084051724122</v>
      </c>
      <c r="J326" s="34">
        <f t="shared" si="201"/>
        <v>0.73494084051724129</v>
      </c>
      <c r="K326" s="34">
        <f t="shared" si="201"/>
        <v>0.90234084051724139</v>
      </c>
      <c r="L326" s="34">
        <f t="shared" si="201"/>
        <v>0.72549084051724122</v>
      </c>
      <c r="M326" s="34">
        <f t="shared" si="201"/>
        <v>0.72549084051724122</v>
      </c>
      <c r="N326" s="34">
        <f t="shared" si="201"/>
        <v>0.90234084051724139</v>
      </c>
      <c r="O326" s="34">
        <f t="shared" si="201"/>
        <v>0.73494084051724129</v>
      </c>
      <c r="P326" s="34">
        <f t="shared" si="201"/>
        <v>0.72549084051724122</v>
      </c>
      <c r="Q326" s="34">
        <f t="shared" si="201"/>
        <v>0.89559084051724136</v>
      </c>
      <c r="R326" s="34">
        <f t="shared" si="201"/>
        <v>0.72549084051724122</v>
      </c>
      <c r="S326" s="34">
        <f t="shared" si="201"/>
        <v>0.72549084051724122</v>
      </c>
      <c r="T326" s="34">
        <f t="shared" si="201"/>
        <v>0.90909084051724121</v>
      </c>
      <c r="U326" s="34">
        <f t="shared" si="201"/>
        <v>0.72549084051724122</v>
      </c>
      <c r="V326" s="182">
        <f t="shared" ref="V326" si="202">SUM(B326:U326)</f>
        <v>39.895597810344817</v>
      </c>
      <c r="W326" s="283">
        <f t="shared" ref="W326" si="203">V326/20</f>
        <v>1.9947798905172409</v>
      </c>
    </row>
    <row r="327" spans="1:23">
      <c r="A327" s="269" t="s">
        <v>123</v>
      </c>
      <c r="B327" s="52">
        <v>0.96618357487922713</v>
      </c>
      <c r="C327" s="52">
        <v>0.93351070036640305</v>
      </c>
      <c r="D327" s="52">
        <v>0.90194270566802237</v>
      </c>
      <c r="E327" s="52">
        <v>0.87144222769857238</v>
      </c>
      <c r="F327" s="52">
        <v>0.84197316685852419</v>
      </c>
      <c r="G327" s="52">
        <v>0.81350064430775282</v>
      </c>
      <c r="H327" s="52">
        <v>0.78599096068381913</v>
      </c>
      <c r="I327" s="52">
        <v>0.75941155621625056</v>
      </c>
      <c r="J327" s="52">
        <v>0.73373097218961414</v>
      </c>
      <c r="K327" s="52">
        <v>0.70891881370977217</v>
      </c>
      <c r="L327" s="52">
        <v>0.68494571372924851</v>
      </c>
      <c r="M327" s="52">
        <v>0.66178329828912896</v>
      </c>
      <c r="N327" s="52">
        <v>0.63940415293635666</v>
      </c>
      <c r="O327" s="52">
        <v>0.61778179027667302</v>
      </c>
      <c r="P327" s="52">
        <v>0.59689061862480497</v>
      </c>
      <c r="Q327" s="52">
        <v>0.57670591171478747</v>
      </c>
      <c r="R327" s="52">
        <v>0.55720377943457733</v>
      </c>
      <c r="S327" s="52">
        <v>0.53836113955031628</v>
      </c>
      <c r="T327" s="52">
        <v>0.52015569038677911</v>
      </c>
      <c r="U327" s="52">
        <v>0.50256588443167061</v>
      </c>
      <c r="V327" s="179"/>
      <c r="W327" s="140"/>
    </row>
    <row r="328" spans="1:23" ht="26.25" thickBot="1">
      <c r="A328" s="43" t="s">
        <v>1148</v>
      </c>
      <c r="B328" s="38">
        <f>B327*B326</f>
        <v>24.162629797601202</v>
      </c>
      <c r="C328" s="38">
        <f t="shared" ref="C328:U328" si="204">C327*C326</f>
        <v>0.68355465986813357</v>
      </c>
      <c r="D328" s="38">
        <f t="shared" si="204"/>
        <v>0.65435117163348822</v>
      </c>
      <c r="E328" s="38">
        <f t="shared" si="204"/>
        <v>0.79457304125549855</v>
      </c>
      <c r="F328" s="38">
        <f t="shared" si="204"/>
        <v>0.61652713939344916</v>
      </c>
      <c r="G328" s="38">
        <f t="shared" si="204"/>
        <v>0.59018726620014883</v>
      </c>
      <c r="H328" s="38">
        <f t="shared" si="204"/>
        <v>0.70923174410239143</v>
      </c>
      <c r="I328" s="38">
        <f t="shared" si="204"/>
        <v>0.55094612821783384</v>
      </c>
      <c r="J328" s="38">
        <f t="shared" si="204"/>
        <v>0.53924885741456763</v>
      </c>
      <c r="K328" s="38">
        <f t="shared" si="204"/>
        <v>0.63968639822136153</v>
      </c>
      <c r="L328" s="38">
        <f t="shared" si="204"/>
        <v>0.49692184156211416</v>
      </c>
      <c r="M328" s="38">
        <f t="shared" si="204"/>
        <v>0.48011772131605235</v>
      </c>
      <c r="N328" s="38">
        <f t="shared" si="204"/>
        <v>0.57696048079080686</v>
      </c>
      <c r="O328" s="38">
        <f t="shared" si="204"/>
        <v>0.45403306820218414</v>
      </c>
      <c r="P328" s="38">
        <f t="shared" si="204"/>
        <v>0.43303867660296586</v>
      </c>
      <c r="Q328" s="38">
        <f t="shared" si="204"/>
        <v>0.51649253220390845</v>
      </c>
      <c r="R328" s="38">
        <f t="shared" si="204"/>
        <v>0.40424623828137501</v>
      </c>
      <c r="S328" s="38">
        <f t="shared" si="204"/>
        <v>0.39057607563417873</v>
      </c>
      <c r="T328" s="38">
        <f t="shared" si="204"/>
        <v>0.47286877377354292</v>
      </c>
      <c r="U328" s="38">
        <f t="shared" si="204"/>
        <v>0.3646069459116234</v>
      </c>
      <c r="V328" s="378">
        <f>SUM(B328:U328)</f>
        <v>34.530798558186824</v>
      </c>
      <c r="W328" s="146"/>
    </row>
    <row r="329" spans="1:23" s="99" customFormat="1">
      <c r="A329" s="4"/>
      <c r="B329" s="100"/>
      <c r="C329" s="100"/>
      <c r="D329" s="100"/>
      <c r="E329" s="100"/>
      <c r="F329" s="100"/>
      <c r="G329" s="100"/>
      <c r="H329" s="100"/>
      <c r="I329" s="100"/>
      <c r="J329" s="100"/>
      <c r="K329" s="100"/>
      <c r="L329" s="100"/>
      <c r="M329" s="100"/>
      <c r="N329" s="100"/>
      <c r="O329" s="100"/>
      <c r="P329" s="100"/>
      <c r="Q329" s="100"/>
      <c r="R329" s="100"/>
      <c r="S329" s="100"/>
      <c r="T329" s="100"/>
      <c r="U329" s="100"/>
      <c r="V329" s="81"/>
      <c r="W329" s="81"/>
    </row>
    <row r="330" spans="1:23" s="100" customFormat="1">
      <c r="A330" s="254"/>
      <c r="B330" s="322"/>
      <c r="C330" s="322"/>
      <c r="D330" s="322"/>
      <c r="E330" s="322"/>
      <c r="F330" s="322"/>
      <c r="G330" s="322"/>
      <c r="H330" s="322"/>
      <c r="I330" s="322"/>
      <c r="J330" s="322"/>
      <c r="K330" s="322"/>
      <c r="L330" s="322"/>
      <c r="M330" s="322"/>
      <c r="N330" s="322"/>
      <c r="O330" s="322"/>
      <c r="P330" s="322"/>
      <c r="Q330" s="322"/>
      <c r="R330" s="322"/>
      <c r="S330" s="322"/>
      <c r="T330" s="322"/>
      <c r="U330" s="322"/>
      <c r="V330" s="277"/>
      <c r="W330" s="277"/>
    </row>
    <row r="331" spans="1:23" s="99" customFormat="1" ht="32.25" customHeight="1">
      <c r="A331" s="328" t="s">
        <v>1151</v>
      </c>
      <c r="B331" s="270"/>
      <c r="C331" s="270"/>
      <c r="D331" s="270"/>
      <c r="E331" s="270"/>
      <c r="F331" s="270"/>
      <c r="G331" s="270"/>
      <c r="H331" s="270"/>
      <c r="I331" s="270"/>
      <c r="J331" s="270"/>
      <c r="K331" s="270"/>
      <c r="L331" s="270"/>
      <c r="M331" s="270"/>
      <c r="N331" s="270"/>
      <c r="O331" s="270"/>
      <c r="P331" s="270"/>
      <c r="Q331" s="270"/>
      <c r="R331" s="270"/>
      <c r="S331" s="270"/>
      <c r="T331" s="270"/>
      <c r="U331" s="270"/>
      <c r="V331" s="271"/>
      <c r="W331" s="271"/>
    </row>
    <row r="332" spans="1:23" s="99" customFormat="1" ht="13.5" thickBot="1">
      <c r="A332" s="438" t="s">
        <v>970</v>
      </c>
      <c r="B332" s="438"/>
      <c r="C332" s="438"/>
      <c r="D332" s="438"/>
      <c r="E332" s="438"/>
      <c r="F332" s="438"/>
      <c r="G332" s="438"/>
      <c r="H332" s="438"/>
      <c r="I332" s="438"/>
      <c r="J332" s="438"/>
      <c r="K332" s="438"/>
      <c r="L332" s="438"/>
      <c r="M332" s="438"/>
      <c r="N332" s="438"/>
      <c r="O332" s="438"/>
      <c r="P332" s="438"/>
      <c r="Q332" s="438"/>
      <c r="R332" s="438"/>
      <c r="S332" s="438"/>
      <c r="T332" s="438"/>
      <c r="U332" s="438"/>
      <c r="V332" s="438"/>
      <c r="W332" s="438"/>
    </row>
    <row r="333" spans="1:23" ht="13.5" customHeight="1">
      <c r="A333" s="272" t="s">
        <v>14</v>
      </c>
      <c r="B333" s="257">
        <v>2013</v>
      </c>
      <c r="C333" s="257">
        <v>2014</v>
      </c>
      <c r="D333" s="257">
        <v>2015</v>
      </c>
      <c r="E333" s="257">
        <v>2016</v>
      </c>
      <c r="F333" s="257">
        <v>2017</v>
      </c>
      <c r="G333" s="257">
        <v>2018</v>
      </c>
      <c r="H333" s="257">
        <v>2019</v>
      </c>
      <c r="I333" s="257">
        <v>2020</v>
      </c>
      <c r="J333" s="257">
        <v>2021</v>
      </c>
      <c r="K333" s="257">
        <v>2022</v>
      </c>
      <c r="L333" s="257">
        <v>2023</v>
      </c>
      <c r="M333" s="257">
        <v>2024</v>
      </c>
      <c r="N333" s="257">
        <v>2025</v>
      </c>
      <c r="O333" s="257">
        <v>2026</v>
      </c>
      <c r="P333" s="257">
        <v>2027</v>
      </c>
      <c r="Q333" s="257">
        <v>2028</v>
      </c>
      <c r="R333" s="257">
        <v>2029</v>
      </c>
      <c r="S333" s="257">
        <v>2030</v>
      </c>
      <c r="T333" s="257">
        <v>2031</v>
      </c>
      <c r="U333" s="257">
        <v>2032</v>
      </c>
      <c r="V333" s="402" t="s">
        <v>15</v>
      </c>
      <c r="W333" s="404" t="s">
        <v>1055</v>
      </c>
    </row>
    <row r="334" spans="1:23" ht="13.5" customHeight="1" thickBot="1">
      <c r="A334" s="273" t="s">
        <v>16</v>
      </c>
      <c r="B334" s="259">
        <v>1</v>
      </c>
      <c r="C334" s="259">
        <v>2</v>
      </c>
      <c r="D334" s="259">
        <v>3</v>
      </c>
      <c r="E334" s="259">
        <v>4</v>
      </c>
      <c r="F334" s="259">
        <v>5</v>
      </c>
      <c r="G334" s="259">
        <v>6</v>
      </c>
      <c r="H334" s="259">
        <v>7</v>
      </c>
      <c r="I334" s="259">
        <v>8</v>
      </c>
      <c r="J334" s="259">
        <v>9</v>
      </c>
      <c r="K334" s="259">
        <v>10</v>
      </c>
      <c r="L334" s="259">
        <v>11</v>
      </c>
      <c r="M334" s="259">
        <v>12</v>
      </c>
      <c r="N334" s="259">
        <v>13</v>
      </c>
      <c r="O334" s="259">
        <v>14</v>
      </c>
      <c r="P334" s="259">
        <v>15</v>
      </c>
      <c r="Q334" s="259">
        <v>16</v>
      </c>
      <c r="R334" s="259">
        <v>17</v>
      </c>
      <c r="S334" s="259">
        <v>18</v>
      </c>
      <c r="T334" s="259">
        <v>19</v>
      </c>
      <c r="U334" s="259">
        <v>20</v>
      </c>
      <c r="V334" s="403"/>
      <c r="W334" s="405"/>
    </row>
    <row r="335" spans="1:23" ht="17.25" customHeight="1">
      <c r="A335" s="274" t="s">
        <v>1053</v>
      </c>
      <c r="B335" s="188"/>
      <c r="C335" s="188"/>
      <c r="D335" s="188"/>
      <c r="E335" s="188"/>
      <c r="F335" s="188"/>
      <c r="G335" s="188"/>
      <c r="H335" s="188"/>
      <c r="I335" s="188"/>
      <c r="J335" s="188"/>
      <c r="K335" s="188"/>
      <c r="L335" s="188"/>
      <c r="M335" s="188"/>
      <c r="N335" s="188"/>
      <c r="O335" s="188"/>
      <c r="P335" s="188"/>
      <c r="Q335" s="188"/>
      <c r="R335" s="188"/>
      <c r="S335" s="188"/>
      <c r="T335" s="188"/>
      <c r="U335" s="188"/>
      <c r="V335" s="178"/>
      <c r="W335" s="130"/>
    </row>
    <row r="336" spans="1:23" ht="15" customHeight="1">
      <c r="A336" s="197" t="s">
        <v>17</v>
      </c>
      <c r="B336" s="100"/>
      <c r="C336" s="100"/>
      <c r="D336" s="100"/>
      <c r="E336" s="100"/>
      <c r="F336" s="100"/>
      <c r="G336" s="100"/>
      <c r="H336" s="100"/>
      <c r="I336" s="100"/>
      <c r="J336" s="100"/>
      <c r="K336" s="100"/>
      <c r="L336" s="100"/>
      <c r="M336" s="100"/>
      <c r="N336" s="100"/>
      <c r="O336" s="100"/>
      <c r="P336" s="100"/>
      <c r="Q336" s="100"/>
      <c r="R336" s="100"/>
      <c r="S336" s="100"/>
      <c r="T336" s="100"/>
      <c r="U336" s="100"/>
      <c r="V336" s="179"/>
      <c r="W336" s="140"/>
    </row>
    <row r="337" spans="1:23" ht="51">
      <c r="A337" s="200" t="s">
        <v>1343</v>
      </c>
      <c r="B337" s="52">
        <f>B$65*0.45</f>
        <v>1.2149999999999999E-2</v>
      </c>
      <c r="C337" s="52">
        <f t="shared" ref="C337:U337" si="205">C$65*0.45</f>
        <v>0</v>
      </c>
      <c r="D337" s="52">
        <f t="shared" si="205"/>
        <v>0</v>
      </c>
      <c r="E337" s="52">
        <f t="shared" si="205"/>
        <v>1.5187500000000001E-2</v>
      </c>
      <c r="F337" s="52">
        <f t="shared" si="205"/>
        <v>0</v>
      </c>
      <c r="G337" s="52">
        <f t="shared" si="205"/>
        <v>0</v>
      </c>
      <c r="H337" s="52">
        <f t="shared" si="205"/>
        <v>9.1125000000000008E-3</v>
      </c>
      <c r="I337" s="52">
        <f t="shared" si="205"/>
        <v>0</v>
      </c>
      <c r="J337" s="52">
        <f t="shared" si="205"/>
        <v>6.0749999999999997E-3</v>
      </c>
      <c r="K337" s="52">
        <f t="shared" si="205"/>
        <v>9.1125000000000008E-3</v>
      </c>
      <c r="L337" s="52">
        <f t="shared" si="205"/>
        <v>0</v>
      </c>
      <c r="M337" s="52">
        <f t="shared" si="205"/>
        <v>0</v>
      </c>
      <c r="N337" s="52">
        <f t="shared" si="205"/>
        <v>9.1125000000000008E-3</v>
      </c>
      <c r="O337" s="52">
        <f t="shared" si="205"/>
        <v>6.0749999999999997E-3</v>
      </c>
      <c r="P337" s="52">
        <f t="shared" si="205"/>
        <v>0</v>
      </c>
      <c r="Q337" s="52">
        <f t="shared" si="205"/>
        <v>9.1125000000000008E-3</v>
      </c>
      <c r="R337" s="52">
        <f t="shared" si="205"/>
        <v>0</v>
      </c>
      <c r="S337" s="52">
        <f t="shared" si="205"/>
        <v>0</v>
      </c>
      <c r="T337" s="52">
        <f t="shared" si="205"/>
        <v>9.1125000000000008E-3</v>
      </c>
      <c r="U337" s="52">
        <f t="shared" si="205"/>
        <v>0</v>
      </c>
      <c r="V337" s="180">
        <f t="shared" ref="V337" si="206">SUM(B337:U337)</f>
        <v>8.5050000000000001E-2</v>
      </c>
      <c r="W337" s="161">
        <f t="shared" ref="W337" si="207">V337/20</f>
        <v>4.2525000000000002E-3</v>
      </c>
    </row>
    <row r="338" spans="1:23" ht="38.25">
      <c r="A338" s="200" t="s">
        <v>1344</v>
      </c>
      <c r="B338" s="52">
        <f>'Scenario 2 Assumptions'!D391*'Scenario 2 Assumptions'!E391</f>
        <v>9.2817999999999998E-2</v>
      </c>
      <c r="C338" s="52">
        <v>0</v>
      </c>
      <c r="D338" s="52">
        <v>0</v>
      </c>
      <c r="E338" s="52">
        <v>0</v>
      </c>
      <c r="F338" s="52">
        <v>0</v>
      </c>
      <c r="G338" s="52">
        <v>0</v>
      </c>
      <c r="H338" s="52">
        <v>0</v>
      </c>
      <c r="I338" s="52">
        <v>0</v>
      </c>
      <c r="J338" s="52">
        <v>0</v>
      </c>
      <c r="K338" s="52">
        <v>0</v>
      </c>
      <c r="L338" s="52">
        <v>0</v>
      </c>
      <c r="M338" s="52">
        <v>0</v>
      </c>
      <c r="N338" s="52">
        <v>0</v>
      </c>
      <c r="O338" s="52">
        <v>0</v>
      </c>
      <c r="P338" s="52">
        <v>0</v>
      </c>
      <c r="Q338" s="52">
        <v>0</v>
      </c>
      <c r="R338" s="52">
        <v>0</v>
      </c>
      <c r="S338" s="52">
        <v>0</v>
      </c>
      <c r="T338" s="52">
        <v>0</v>
      </c>
      <c r="U338" s="52">
        <v>0</v>
      </c>
      <c r="V338" s="180">
        <f t="shared" ref="V338:V339" si="208">SUM(B338:U338)</f>
        <v>9.2817999999999998E-2</v>
      </c>
      <c r="W338" s="161">
        <f t="shared" ref="W338:W339" si="209">V338/20</f>
        <v>4.6408999999999999E-3</v>
      </c>
    </row>
    <row r="339" spans="1:23" ht="25.5">
      <c r="A339" s="377" t="s">
        <v>1350</v>
      </c>
      <c r="B339" s="52">
        <f>B$66</f>
        <v>0.10732500000000031</v>
      </c>
      <c r="C339" s="52">
        <f t="shared" ref="C339:U339" si="210">C$66</f>
        <v>0.11407499999999998</v>
      </c>
      <c r="D339" s="52">
        <f t="shared" si="210"/>
        <v>0.10732499999999995</v>
      </c>
      <c r="E339" s="52">
        <f t="shared" si="210"/>
        <v>0.10732499999999995</v>
      </c>
      <c r="F339" s="52">
        <f t="shared" si="210"/>
        <v>0.11407499999999998</v>
      </c>
      <c r="G339" s="52">
        <f t="shared" si="210"/>
        <v>0.10732499999999995</v>
      </c>
      <c r="H339" s="52">
        <f t="shared" si="210"/>
        <v>0.10732499999999999</v>
      </c>
      <c r="I339" s="52">
        <f t="shared" si="210"/>
        <v>0.10732499999999995</v>
      </c>
      <c r="J339" s="52">
        <f t="shared" si="210"/>
        <v>0.10732499999999996</v>
      </c>
      <c r="K339" s="52">
        <f t="shared" si="210"/>
        <v>0.10732499999999999</v>
      </c>
      <c r="L339" s="52">
        <f t="shared" si="210"/>
        <v>0.10732499999999995</v>
      </c>
      <c r="M339" s="52">
        <f t="shared" si="210"/>
        <v>0.10732499999999995</v>
      </c>
      <c r="N339" s="52">
        <f t="shared" si="210"/>
        <v>0.10732499999999999</v>
      </c>
      <c r="O339" s="52">
        <f t="shared" si="210"/>
        <v>0.10732499999999996</v>
      </c>
      <c r="P339" s="52">
        <f t="shared" si="210"/>
        <v>0.10732499999999995</v>
      </c>
      <c r="Q339" s="52">
        <f t="shared" si="210"/>
        <v>0.10057499999999996</v>
      </c>
      <c r="R339" s="52">
        <f t="shared" si="210"/>
        <v>0.10732499999999995</v>
      </c>
      <c r="S339" s="52">
        <f t="shared" si="210"/>
        <v>0.10732499999999995</v>
      </c>
      <c r="T339" s="52">
        <f t="shared" si="210"/>
        <v>0.11407499999999997</v>
      </c>
      <c r="U339" s="52">
        <f t="shared" si="210"/>
        <v>0.10732499999999995</v>
      </c>
      <c r="V339" s="180">
        <f t="shared" si="208"/>
        <v>2.1599999999999993</v>
      </c>
      <c r="W339" s="161">
        <f t="shared" si="209"/>
        <v>0.10799999999999996</v>
      </c>
    </row>
    <row r="340" spans="1:23">
      <c r="A340" s="131" t="s">
        <v>1339</v>
      </c>
      <c r="B340" s="278">
        <f>B$22</f>
        <v>24</v>
      </c>
      <c r="C340" s="278">
        <f t="shared" ref="C340:U340" si="211">C$22</f>
        <v>0</v>
      </c>
      <c r="D340" s="278">
        <f t="shared" si="211"/>
        <v>0</v>
      </c>
      <c r="E340" s="278">
        <f t="shared" si="211"/>
        <v>0</v>
      </c>
      <c r="F340" s="278">
        <f t="shared" si="211"/>
        <v>0</v>
      </c>
      <c r="G340" s="278">
        <f t="shared" si="211"/>
        <v>0</v>
      </c>
      <c r="H340" s="278">
        <f t="shared" si="211"/>
        <v>0</v>
      </c>
      <c r="I340" s="278">
        <f t="shared" si="211"/>
        <v>0</v>
      </c>
      <c r="J340" s="278">
        <f t="shared" si="211"/>
        <v>0</v>
      </c>
      <c r="K340" s="278">
        <f t="shared" si="211"/>
        <v>0</v>
      </c>
      <c r="L340" s="278">
        <f t="shared" si="211"/>
        <v>0</v>
      </c>
      <c r="M340" s="278">
        <f t="shared" si="211"/>
        <v>0</v>
      </c>
      <c r="N340" s="278">
        <f t="shared" si="211"/>
        <v>0</v>
      </c>
      <c r="O340" s="278">
        <f t="shared" si="211"/>
        <v>0</v>
      </c>
      <c r="P340" s="278">
        <f t="shared" si="211"/>
        <v>0</v>
      </c>
      <c r="Q340" s="278">
        <f t="shared" si="211"/>
        <v>0</v>
      </c>
      <c r="R340" s="278">
        <f t="shared" si="211"/>
        <v>0</v>
      </c>
      <c r="S340" s="278">
        <f t="shared" si="211"/>
        <v>0</v>
      </c>
      <c r="T340" s="278">
        <f t="shared" si="211"/>
        <v>0</v>
      </c>
      <c r="U340" s="278">
        <f t="shared" si="211"/>
        <v>0</v>
      </c>
      <c r="V340" s="180">
        <f>SUM(B340:U340)</f>
        <v>24</v>
      </c>
      <c r="W340" s="161">
        <f t="shared" ref="W340" si="212">V340/20</f>
        <v>1.2</v>
      </c>
    </row>
    <row r="341" spans="1:23">
      <c r="A341" s="276"/>
      <c r="B341" s="278"/>
      <c r="C341" s="278"/>
      <c r="D341" s="278"/>
      <c r="E341" s="278"/>
      <c r="F341" s="278"/>
      <c r="G341" s="278"/>
      <c r="H341" s="278"/>
      <c r="I341" s="278"/>
      <c r="J341" s="278"/>
      <c r="K341" s="278"/>
      <c r="L341" s="278"/>
      <c r="M341" s="278"/>
      <c r="N341" s="278"/>
      <c r="O341" s="278"/>
      <c r="P341" s="278"/>
      <c r="Q341" s="278"/>
      <c r="R341" s="278"/>
      <c r="S341" s="278"/>
      <c r="T341" s="278"/>
      <c r="U341" s="278"/>
      <c r="V341" s="180"/>
      <c r="W341" s="161"/>
    </row>
    <row r="342" spans="1:23">
      <c r="A342" s="197" t="s">
        <v>18</v>
      </c>
      <c r="B342" s="278"/>
      <c r="C342" s="278"/>
      <c r="D342" s="278"/>
      <c r="E342" s="278"/>
      <c r="F342" s="278"/>
      <c r="G342" s="278"/>
      <c r="H342" s="278"/>
      <c r="I342" s="278"/>
      <c r="J342" s="278"/>
      <c r="K342" s="278"/>
      <c r="L342" s="278"/>
      <c r="M342" s="278"/>
      <c r="N342" s="278"/>
      <c r="O342" s="278"/>
      <c r="P342" s="278"/>
      <c r="Q342" s="278"/>
      <c r="R342" s="278"/>
      <c r="S342" s="278"/>
      <c r="T342" s="278"/>
      <c r="U342" s="278"/>
      <c r="V342" s="180"/>
      <c r="W342" s="161"/>
    </row>
    <row r="343" spans="1:23">
      <c r="A343" s="131" t="s">
        <v>1339</v>
      </c>
      <c r="B343" s="52">
        <f t="shared" ref="B343:U343" si="213">B$50+B$53</f>
        <v>3.6890840517241383E-2</v>
      </c>
      <c r="C343" s="52">
        <f t="shared" si="213"/>
        <v>3.6890840517241383E-2</v>
      </c>
      <c r="D343" s="52">
        <f t="shared" si="213"/>
        <v>3.6890840517241383E-2</v>
      </c>
      <c r="E343" s="52">
        <f t="shared" si="213"/>
        <v>3.6890840517241383E-2</v>
      </c>
      <c r="F343" s="52">
        <f t="shared" si="213"/>
        <v>3.6890840517241383E-2</v>
      </c>
      <c r="G343" s="52">
        <f t="shared" si="213"/>
        <v>3.6890840517241383E-2</v>
      </c>
      <c r="H343" s="52">
        <f t="shared" si="213"/>
        <v>3.6890840517241383E-2</v>
      </c>
      <c r="I343" s="52">
        <f t="shared" si="213"/>
        <v>3.6890840517241383E-2</v>
      </c>
      <c r="J343" s="52">
        <f t="shared" si="213"/>
        <v>3.6890840517241383E-2</v>
      </c>
      <c r="K343" s="52">
        <f t="shared" si="213"/>
        <v>3.6890840517241383E-2</v>
      </c>
      <c r="L343" s="52">
        <f t="shared" si="213"/>
        <v>3.6890840517241383E-2</v>
      </c>
      <c r="M343" s="52">
        <f t="shared" si="213"/>
        <v>3.6890840517241383E-2</v>
      </c>
      <c r="N343" s="52">
        <f t="shared" si="213"/>
        <v>3.6890840517241383E-2</v>
      </c>
      <c r="O343" s="52">
        <f t="shared" si="213"/>
        <v>3.6890840517241383E-2</v>
      </c>
      <c r="P343" s="52">
        <f t="shared" si="213"/>
        <v>3.6890840517241383E-2</v>
      </c>
      <c r="Q343" s="52">
        <f t="shared" si="213"/>
        <v>3.6890840517241383E-2</v>
      </c>
      <c r="R343" s="52">
        <f t="shared" si="213"/>
        <v>3.6890840517241383E-2</v>
      </c>
      <c r="S343" s="52">
        <f t="shared" si="213"/>
        <v>3.6890840517241383E-2</v>
      </c>
      <c r="T343" s="52">
        <f t="shared" si="213"/>
        <v>3.6890840517241383E-2</v>
      </c>
      <c r="U343" s="52">
        <f t="shared" si="213"/>
        <v>3.6890840517241383E-2</v>
      </c>
      <c r="V343" s="180">
        <f>SUM(B343:U343)</f>
        <v>0.73781681034482749</v>
      </c>
      <c r="W343" s="161">
        <f t="shared" ref="W343" si="214">V343/20</f>
        <v>3.6890840517241376E-2</v>
      </c>
    </row>
    <row r="344" spans="1:23">
      <c r="A344" s="276"/>
      <c r="B344" s="52"/>
      <c r="C344" s="52"/>
      <c r="D344" s="52"/>
      <c r="E344" s="52"/>
      <c r="F344" s="52"/>
      <c r="G344" s="52"/>
      <c r="H344" s="52"/>
      <c r="I344" s="52"/>
      <c r="J344" s="52"/>
      <c r="K344" s="52"/>
      <c r="L344" s="52"/>
      <c r="M344" s="52"/>
      <c r="N344" s="52"/>
      <c r="O344" s="52"/>
      <c r="P344" s="52"/>
      <c r="Q344" s="52"/>
      <c r="R344" s="52"/>
      <c r="S344" s="52"/>
      <c r="T344" s="52"/>
      <c r="U344" s="52"/>
      <c r="V344" s="180"/>
      <c r="W344" s="161"/>
    </row>
    <row r="345" spans="1:23">
      <c r="A345" s="197" t="s">
        <v>1340</v>
      </c>
      <c r="B345" s="52"/>
      <c r="C345" s="52"/>
      <c r="D345" s="52"/>
      <c r="E345" s="52"/>
      <c r="F345" s="52"/>
      <c r="G345" s="52"/>
      <c r="H345" s="52"/>
      <c r="I345" s="52"/>
      <c r="J345" s="52"/>
      <c r="K345" s="52"/>
      <c r="L345" s="52"/>
      <c r="M345" s="52"/>
      <c r="N345" s="52"/>
      <c r="O345" s="52"/>
      <c r="P345" s="52"/>
      <c r="Q345" s="52"/>
      <c r="R345" s="52"/>
      <c r="S345" s="52"/>
      <c r="T345" s="52"/>
      <c r="U345" s="52"/>
      <c r="V345" s="180"/>
      <c r="W345" s="161"/>
    </row>
    <row r="346" spans="1:23">
      <c r="A346" s="100" t="s">
        <v>679</v>
      </c>
      <c r="B346" s="52">
        <f>SUM(B337:B340)</f>
        <v>24.212292999999999</v>
      </c>
      <c r="C346" s="52">
        <f t="shared" ref="C346:U346" si="215">SUM(C337:C340)</f>
        <v>0.11407499999999998</v>
      </c>
      <c r="D346" s="52">
        <f t="shared" si="215"/>
        <v>0.10732499999999995</v>
      </c>
      <c r="E346" s="52">
        <f t="shared" si="215"/>
        <v>0.12251249999999995</v>
      </c>
      <c r="F346" s="52">
        <f t="shared" si="215"/>
        <v>0.11407499999999998</v>
      </c>
      <c r="G346" s="52">
        <f t="shared" si="215"/>
        <v>0.10732499999999995</v>
      </c>
      <c r="H346" s="52">
        <f t="shared" si="215"/>
        <v>0.11643749999999999</v>
      </c>
      <c r="I346" s="52">
        <f t="shared" si="215"/>
        <v>0.10732499999999995</v>
      </c>
      <c r="J346" s="52">
        <f t="shared" si="215"/>
        <v>0.11339999999999996</v>
      </c>
      <c r="K346" s="52">
        <f t="shared" si="215"/>
        <v>0.11643749999999999</v>
      </c>
      <c r="L346" s="52">
        <f t="shared" si="215"/>
        <v>0.10732499999999995</v>
      </c>
      <c r="M346" s="52">
        <f t="shared" si="215"/>
        <v>0.10732499999999995</v>
      </c>
      <c r="N346" s="52">
        <f t="shared" si="215"/>
        <v>0.11643749999999999</v>
      </c>
      <c r="O346" s="52">
        <f t="shared" si="215"/>
        <v>0.11339999999999996</v>
      </c>
      <c r="P346" s="52">
        <f t="shared" si="215"/>
        <v>0.10732499999999995</v>
      </c>
      <c r="Q346" s="52">
        <f t="shared" si="215"/>
        <v>0.10968749999999995</v>
      </c>
      <c r="R346" s="52">
        <f t="shared" si="215"/>
        <v>0.10732499999999995</v>
      </c>
      <c r="S346" s="52">
        <f t="shared" si="215"/>
        <v>0.10732499999999995</v>
      </c>
      <c r="T346" s="52">
        <f t="shared" si="215"/>
        <v>0.12318749999999996</v>
      </c>
      <c r="U346" s="52">
        <f t="shared" si="215"/>
        <v>0.10732499999999995</v>
      </c>
      <c r="V346" s="180">
        <f t="shared" ref="V346:V349" si="216">SUM(B346:U346)</f>
        <v>26.33786799999999</v>
      </c>
      <c r="W346" s="161">
        <f t="shared" ref="W346:W349" si="217">V346/20</f>
        <v>1.3168933999999994</v>
      </c>
    </row>
    <row r="347" spans="1:23">
      <c r="A347" s="131" t="s">
        <v>1368</v>
      </c>
      <c r="B347" s="52">
        <f>SUM(B337:B339)</f>
        <v>0.21229300000000029</v>
      </c>
      <c r="C347" s="52">
        <f t="shared" ref="C347:U347" si="218">SUM(C337:C339)</f>
        <v>0.11407499999999998</v>
      </c>
      <c r="D347" s="52">
        <f t="shared" si="218"/>
        <v>0.10732499999999995</v>
      </c>
      <c r="E347" s="52">
        <f t="shared" si="218"/>
        <v>0.12251249999999995</v>
      </c>
      <c r="F347" s="52">
        <f t="shared" si="218"/>
        <v>0.11407499999999998</v>
      </c>
      <c r="G347" s="52">
        <f t="shared" si="218"/>
        <v>0.10732499999999995</v>
      </c>
      <c r="H347" s="52">
        <f t="shared" si="218"/>
        <v>0.11643749999999999</v>
      </c>
      <c r="I347" s="52">
        <f t="shared" si="218"/>
        <v>0.10732499999999995</v>
      </c>
      <c r="J347" s="52">
        <f t="shared" si="218"/>
        <v>0.11339999999999996</v>
      </c>
      <c r="K347" s="52">
        <f t="shared" si="218"/>
        <v>0.11643749999999999</v>
      </c>
      <c r="L347" s="52">
        <f t="shared" si="218"/>
        <v>0.10732499999999995</v>
      </c>
      <c r="M347" s="52">
        <f t="shared" si="218"/>
        <v>0.10732499999999995</v>
      </c>
      <c r="N347" s="52">
        <f t="shared" si="218"/>
        <v>0.11643749999999999</v>
      </c>
      <c r="O347" s="52">
        <f t="shared" si="218"/>
        <v>0.11339999999999996</v>
      </c>
      <c r="P347" s="52">
        <f t="shared" si="218"/>
        <v>0.10732499999999995</v>
      </c>
      <c r="Q347" s="52">
        <f t="shared" si="218"/>
        <v>0.10968749999999995</v>
      </c>
      <c r="R347" s="52">
        <f t="shared" si="218"/>
        <v>0.10732499999999995</v>
      </c>
      <c r="S347" s="52">
        <f t="shared" si="218"/>
        <v>0.10732499999999995</v>
      </c>
      <c r="T347" s="52">
        <f t="shared" si="218"/>
        <v>0.12318749999999996</v>
      </c>
      <c r="U347" s="52">
        <f t="shared" si="218"/>
        <v>0.10732499999999995</v>
      </c>
      <c r="V347" s="180">
        <f t="shared" ref="V347:V348" si="219">SUM(B347:U347)</f>
        <v>2.3378679999999989</v>
      </c>
      <c r="W347" s="161">
        <f t="shared" ref="W347:W348" si="220">V347/20</f>
        <v>0.11689339999999995</v>
      </c>
    </row>
    <row r="348" spans="1:23">
      <c r="A348" s="131" t="s">
        <v>1367</v>
      </c>
      <c r="B348" s="52">
        <f>B340</f>
        <v>24</v>
      </c>
      <c r="C348" s="52">
        <f t="shared" ref="C348:U348" si="221">C340</f>
        <v>0</v>
      </c>
      <c r="D348" s="52">
        <f t="shared" si="221"/>
        <v>0</v>
      </c>
      <c r="E348" s="52">
        <f t="shared" si="221"/>
        <v>0</v>
      </c>
      <c r="F348" s="52">
        <f t="shared" si="221"/>
        <v>0</v>
      </c>
      <c r="G348" s="52">
        <f t="shared" si="221"/>
        <v>0</v>
      </c>
      <c r="H348" s="52">
        <f t="shared" si="221"/>
        <v>0</v>
      </c>
      <c r="I348" s="52">
        <f t="shared" si="221"/>
        <v>0</v>
      </c>
      <c r="J348" s="52">
        <f t="shared" si="221"/>
        <v>0</v>
      </c>
      <c r="K348" s="52">
        <f t="shared" si="221"/>
        <v>0</v>
      </c>
      <c r="L348" s="52">
        <f t="shared" si="221"/>
        <v>0</v>
      </c>
      <c r="M348" s="52">
        <f t="shared" si="221"/>
        <v>0</v>
      </c>
      <c r="N348" s="52">
        <f t="shared" si="221"/>
        <v>0</v>
      </c>
      <c r="O348" s="52">
        <f t="shared" si="221"/>
        <v>0</v>
      </c>
      <c r="P348" s="52">
        <f t="shared" si="221"/>
        <v>0</v>
      </c>
      <c r="Q348" s="52">
        <f t="shared" si="221"/>
        <v>0</v>
      </c>
      <c r="R348" s="52">
        <f t="shared" si="221"/>
        <v>0</v>
      </c>
      <c r="S348" s="52">
        <f t="shared" si="221"/>
        <v>0</v>
      </c>
      <c r="T348" s="52">
        <f t="shared" si="221"/>
        <v>0</v>
      </c>
      <c r="U348" s="52">
        <f t="shared" si="221"/>
        <v>0</v>
      </c>
      <c r="V348" s="180">
        <f t="shared" si="219"/>
        <v>24</v>
      </c>
      <c r="W348" s="161">
        <f t="shared" si="220"/>
        <v>1.2</v>
      </c>
    </row>
    <row r="349" spans="1:23">
      <c r="A349" s="100" t="s">
        <v>680</v>
      </c>
      <c r="B349" s="52">
        <f>B343</f>
        <v>3.6890840517241383E-2</v>
      </c>
      <c r="C349" s="52">
        <f t="shared" ref="C349:U349" si="222">C343</f>
        <v>3.6890840517241383E-2</v>
      </c>
      <c r="D349" s="52">
        <f t="shared" si="222"/>
        <v>3.6890840517241383E-2</v>
      </c>
      <c r="E349" s="52">
        <f t="shared" si="222"/>
        <v>3.6890840517241383E-2</v>
      </c>
      <c r="F349" s="52">
        <f t="shared" si="222"/>
        <v>3.6890840517241383E-2</v>
      </c>
      <c r="G349" s="52">
        <f t="shared" si="222"/>
        <v>3.6890840517241383E-2</v>
      </c>
      <c r="H349" s="52">
        <f t="shared" si="222"/>
        <v>3.6890840517241383E-2</v>
      </c>
      <c r="I349" s="52">
        <f t="shared" si="222"/>
        <v>3.6890840517241383E-2</v>
      </c>
      <c r="J349" s="52">
        <f t="shared" si="222"/>
        <v>3.6890840517241383E-2</v>
      </c>
      <c r="K349" s="52">
        <f t="shared" si="222"/>
        <v>3.6890840517241383E-2</v>
      </c>
      <c r="L349" s="52">
        <f t="shared" si="222"/>
        <v>3.6890840517241383E-2</v>
      </c>
      <c r="M349" s="52">
        <f t="shared" si="222"/>
        <v>3.6890840517241383E-2</v>
      </c>
      <c r="N349" s="52">
        <f t="shared" si="222"/>
        <v>3.6890840517241383E-2</v>
      </c>
      <c r="O349" s="52">
        <f t="shared" si="222"/>
        <v>3.6890840517241383E-2</v>
      </c>
      <c r="P349" s="52">
        <f t="shared" si="222"/>
        <v>3.6890840517241383E-2</v>
      </c>
      <c r="Q349" s="52">
        <f t="shared" si="222"/>
        <v>3.6890840517241383E-2</v>
      </c>
      <c r="R349" s="52">
        <f t="shared" si="222"/>
        <v>3.6890840517241383E-2</v>
      </c>
      <c r="S349" s="52">
        <f t="shared" si="222"/>
        <v>3.6890840517241383E-2</v>
      </c>
      <c r="T349" s="52">
        <f t="shared" si="222"/>
        <v>3.6890840517241383E-2</v>
      </c>
      <c r="U349" s="52">
        <f t="shared" si="222"/>
        <v>3.6890840517241383E-2</v>
      </c>
      <c r="V349" s="180">
        <f t="shared" si="216"/>
        <v>0.73781681034482749</v>
      </c>
      <c r="W349" s="161">
        <f t="shared" si="217"/>
        <v>3.6890840517241376E-2</v>
      </c>
    </row>
    <row r="350" spans="1:23">
      <c r="A350" s="263" t="s">
        <v>1147</v>
      </c>
      <c r="B350" s="34">
        <f>B346+B349</f>
        <v>24.24918384051724</v>
      </c>
      <c r="C350" s="34">
        <f t="shared" ref="C350:U350" si="223">C346+C349</f>
        <v>0.15096584051724138</v>
      </c>
      <c r="D350" s="34">
        <f t="shared" si="223"/>
        <v>0.14421584051724134</v>
      </c>
      <c r="E350" s="34">
        <f t="shared" si="223"/>
        <v>0.15940334051724134</v>
      </c>
      <c r="F350" s="34">
        <f t="shared" si="223"/>
        <v>0.15096584051724138</v>
      </c>
      <c r="G350" s="34">
        <f t="shared" si="223"/>
        <v>0.14421584051724134</v>
      </c>
      <c r="H350" s="34">
        <f t="shared" si="223"/>
        <v>0.15332834051724137</v>
      </c>
      <c r="I350" s="34">
        <f t="shared" si="223"/>
        <v>0.14421584051724134</v>
      </c>
      <c r="J350" s="34">
        <f t="shared" si="223"/>
        <v>0.15029084051724134</v>
      </c>
      <c r="K350" s="34">
        <f t="shared" si="223"/>
        <v>0.15332834051724137</v>
      </c>
      <c r="L350" s="34">
        <f t="shared" si="223"/>
        <v>0.14421584051724134</v>
      </c>
      <c r="M350" s="34">
        <f t="shared" si="223"/>
        <v>0.14421584051724134</v>
      </c>
      <c r="N350" s="34">
        <f t="shared" si="223"/>
        <v>0.15332834051724137</v>
      </c>
      <c r="O350" s="34">
        <f t="shared" si="223"/>
        <v>0.15029084051724134</v>
      </c>
      <c r="P350" s="34">
        <f t="shared" si="223"/>
        <v>0.14421584051724134</v>
      </c>
      <c r="Q350" s="34">
        <f t="shared" si="223"/>
        <v>0.14657834051724133</v>
      </c>
      <c r="R350" s="34">
        <f t="shared" si="223"/>
        <v>0.14421584051724134</v>
      </c>
      <c r="S350" s="34">
        <f t="shared" si="223"/>
        <v>0.14421584051724134</v>
      </c>
      <c r="T350" s="34">
        <f t="shared" si="223"/>
        <v>0.16007834051724135</v>
      </c>
      <c r="U350" s="34">
        <f t="shared" si="223"/>
        <v>0.14421584051724134</v>
      </c>
      <c r="V350" s="182">
        <f t="shared" ref="V350" si="224">SUM(B350:U350)</f>
        <v>27.075684810344814</v>
      </c>
      <c r="W350" s="283">
        <f t="shared" ref="W350" si="225">V350/20</f>
        <v>1.3537842405172407</v>
      </c>
    </row>
    <row r="351" spans="1:23">
      <c r="A351" s="269" t="s">
        <v>123</v>
      </c>
      <c r="B351" s="52">
        <v>0.96618357487922713</v>
      </c>
      <c r="C351" s="52">
        <v>0.93351070036640305</v>
      </c>
      <c r="D351" s="52">
        <v>0.90194270566802237</v>
      </c>
      <c r="E351" s="52">
        <v>0.87144222769857238</v>
      </c>
      <c r="F351" s="52">
        <v>0.84197316685852419</v>
      </c>
      <c r="G351" s="52">
        <v>0.81350064430775282</v>
      </c>
      <c r="H351" s="52">
        <v>0.78599096068381913</v>
      </c>
      <c r="I351" s="52">
        <v>0.75941155621625056</v>
      </c>
      <c r="J351" s="52">
        <v>0.73373097218961414</v>
      </c>
      <c r="K351" s="52">
        <v>0.70891881370977217</v>
      </c>
      <c r="L351" s="52">
        <v>0.68494571372924851</v>
      </c>
      <c r="M351" s="52">
        <v>0.66178329828912896</v>
      </c>
      <c r="N351" s="52">
        <v>0.63940415293635666</v>
      </c>
      <c r="O351" s="52">
        <v>0.61778179027667302</v>
      </c>
      <c r="P351" s="52">
        <v>0.59689061862480497</v>
      </c>
      <c r="Q351" s="52">
        <v>0.57670591171478747</v>
      </c>
      <c r="R351" s="52">
        <v>0.55720377943457733</v>
      </c>
      <c r="S351" s="52">
        <v>0.53836113955031628</v>
      </c>
      <c r="T351" s="52">
        <v>0.52015569038677911</v>
      </c>
      <c r="U351" s="52">
        <v>0.50256588443167061</v>
      </c>
      <c r="V351" s="179"/>
      <c r="W351" s="140"/>
    </row>
    <row r="352" spans="1:23" ht="26.25" thickBot="1">
      <c r="A352" s="43" t="s">
        <v>1148</v>
      </c>
      <c r="B352" s="38">
        <f>B351*B350</f>
        <v>23.429163130934533</v>
      </c>
      <c r="C352" s="38">
        <f t="shared" ref="C352:U352" si="226">C351*C350</f>
        <v>0.14092822751265272</v>
      </c>
      <c r="D352" s="38">
        <f t="shared" si="226"/>
        <v>0.13007442539630867</v>
      </c>
      <c r="E352" s="38">
        <f t="shared" si="226"/>
        <v>0.13891080216293888</v>
      </c>
      <c r="F352" s="38">
        <f t="shared" si="226"/>
        <v>0.12710918682776062</v>
      </c>
      <c r="G352" s="38">
        <f t="shared" si="226"/>
        <v>0.11731967918015995</v>
      </c>
      <c r="H352" s="38">
        <f t="shared" si="226"/>
        <v>0.12051468966320229</v>
      </c>
      <c r="I352" s="38">
        <f t="shared" si="226"/>
        <v>0.10951917587823286</v>
      </c>
      <c r="J352" s="38">
        <f t="shared" si="226"/>
        <v>0.11027304452390974</v>
      </c>
      <c r="K352" s="38">
        <f t="shared" si="226"/>
        <v>0.10869734526757074</v>
      </c>
      <c r="L352" s="38">
        <f t="shared" si="226"/>
        <v>9.8780021814145344E-2</v>
      </c>
      <c r="M352" s="38">
        <f t="shared" si="226"/>
        <v>9.5439634603038975E-2</v>
      </c>
      <c r="N352" s="38">
        <f t="shared" si="226"/>
        <v>9.8038777689563969E-2</v>
      </c>
      <c r="O352" s="38">
        <f t="shared" si="226"/>
        <v>9.2846944516927307E-2</v>
      </c>
      <c r="P352" s="38">
        <f t="shared" si="226"/>
        <v>8.6081082261832406E-2</v>
      </c>
      <c r="Q352" s="38">
        <f t="shared" si="226"/>
        <v>8.4532595505636229E-2</v>
      </c>
      <c r="R352" s="38">
        <f t="shared" si="226"/>
        <v>8.0357611390541123E-2</v>
      </c>
      <c r="S352" s="38">
        <f t="shared" si="226"/>
        <v>7.7640204242068731E-2</v>
      </c>
      <c r="T352" s="38">
        <f t="shared" si="226"/>
        <v>8.3265659727715588E-2</v>
      </c>
      <c r="U352" s="38">
        <f t="shared" si="226"/>
        <v>7.2477961438604147E-2</v>
      </c>
      <c r="V352" s="378">
        <f t="shared" ref="V352" si="227">SUM(B352:U352)</f>
        <v>25.401970200537349</v>
      </c>
      <c r="W352" s="146"/>
    </row>
    <row r="353" spans="1:23" ht="17.25" customHeight="1" thickBot="1">
      <c r="A353" s="4"/>
      <c r="B353" s="100"/>
      <c r="C353" s="100"/>
      <c r="D353" s="100"/>
      <c r="E353" s="100"/>
      <c r="F353" s="100"/>
      <c r="G353" s="100"/>
      <c r="H353" s="100"/>
      <c r="I353" s="100"/>
      <c r="J353" s="100"/>
      <c r="K353" s="100"/>
      <c r="L353" s="100"/>
      <c r="M353" s="100"/>
      <c r="N353" s="100"/>
      <c r="O353" s="100"/>
      <c r="P353" s="100"/>
      <c r="Q353" s="100"/>
      <c r="R353" s="100"/>
      <c r="S353" s="100"/>
      <c r="T353" s="100"/>
      <c r="U353" s="100"/>
      <c r="V353" s="100"/>
      <c r="W353" s="81"/>
    </row>
    <row r="354" spans="1:23" ht="17.25" customHeight="1">
      <c r="A354" s="274" t="s">
        <v>653</v>
      </c>
      <c r="B354" s="188"/>
      <c r="C354" s="188"/>
      <c r="D354" s="188"/>
      <c r="E354" s="188"/>
      <c r="F354" s="188"/>
      <c r="G354" s="188"/>
      <c r="H354" s="188"/>
      <c r="I354" s="188"/>
      <c r="J354" s="188"/>
      <c r="K354" s="188"/>
      <c r="L354" s="188"/>
      <c r="M354" s="188"/>
      <c r="N354" s="188"/>
      <c r="O354" s="188"/>
      <c r="P354" s="188"/>
      <c r="Q354" s="188"/>
      <c r="R354" s="188"/>
      <c r="S354" s="188"/>
      <c r="T354" s="188"/>
      <c r="U354" s="188"/>
      <c r="V354" s="178"/>
      <c r="W354" s="130"/>
    </row>
    <row r="355" spans="1:23">
      <c r="A355" s="197" t="s">
        <v>17</v>
      </c>
      <c r="B355" s="52"/>
      <c r="C355" s="52"/>
      <c r="D355" s="52"/>
      <c r="E355" s="52"/>
      <c r="F355" s="52"/>
      <c r="G355" s="52"/>
      <c r="H355" s="52"/>
      <c r="I355" s="52"/>
      <c r="J355" s="52"/>
      <c r="K355" s="52"/>
      <c r="L355" s="52"/>
      <c r="M355" s="52"/>
      <c r="N355" s="52"/>
      <c r="O355" s="52"/>
      <c r="P355" s="52"/>
      <c r="Q355" s="52"/>
      <c r="R355" s="52"/>
      <c r="S355" s="52"/>
      <c r="T355" s="52"/>
      <c r="U355" s="52"/>
      <c r="V355" s="180"/>
      <c r="W355" s="161"/>
    </row>
    <row r="356" spans="1:23" s="99" customFormat="1" ht="51">
      <c r="A356" s="200" t="s">
        <v>1345</v>
      </c>
      <c r="B356" s="52">
        <f>B$133*0.25</f>
        <v>3.88125E-2</v>
      </c>
      <c r="C356" s="52">
        <f t="shared" ref="C356:U356" si="228">C$133*0.25</f>
        <v>0</v>
      </c>
      <c r="D356" s="52">
        <f t="shared" si="228"/>
        <v>0</v>
      </c>
      <c r="E356" s="52">
        <f t="shared" si="228"/>
        <v>3.88125E-2</v>
      </c>
      <c r="F356" s="52">
        <f t="shared" si="228"/>
        <v>0</v>
      </c>
      <c r="G356" s="52">
        <f t="shared" si="228"/>
        <v>0</v>
      </c>
      <c r="H356" s="52">
        <f t="shared" si="228"/>
        <v>3.88125E-2</v>
      </c>
      <c r="I356" s="52">
        <f t="shared" si="228"/>
        <v>0</v>
      </c>
      <c r="J356" s="52">
        <f t="shared" si="228"/>
        <v>0</v>
      </c>
      <c r="K356" s="52">
        <f t="shared" si="228"/>
        <v>3.88125E-2</v>
      </c>
      <c r="L356" s="52">
        <f t="shared" si="228"/>
        <v>0</v>
      </c>
      <c r="M356" s="52">
        <f t="shared" si="228"/>
        <v>0</v>
      </c>
      <c r="N356" s="52">
        <f t="shared" si="228"/>
        <v>3.88125E-2</v>
      </c>
      <c r="O356" s="52">
        <f t="shared" si="228"/>
        <v>0</v>
      </c>
      <c r="P356" s="52">
        <f t="shared" si="228"/>
        <v>0</v>
      </c>
      <c r="Q356" s="52">
        <f t="shared" si="228"/>
        <v>3.88125E-2</v>
      </c>
      <c r="R356" s="52">
        <f t="shared" si="228"/>
        <v>0</v>
      </c>
      <c r="S356" s="52">
        <f t="shared" si="228"/>
        <v>0</v>
      </c>
      <c r="T356" s="52">
        <f t="shared" si="228"/>
        <v>3.88125E-2</v>
      </c>
      <c r="U356" s="52">
        <f t="shared" si="228"/>
        <v>0</v>
      </c>
      <c r="V356" s="180">
        <f t="shared" ref="V356" si="229">SUM(B356:U356)</f>
        <v>0.27168749999999997</v>
      </c>
      <c r="W356" s="161">
        <f t="shared" ref="W356" si="230">V356/20</f>
        <v>1.3584374999999999E-2</v>
      </c>
    </row>
    <row r="357" spans="1:23" s="99" customFormat="1" ht="38.25">
      <c r="A357" s="200" t="s">
        <v>1346</v>
      </c>
      <c r="B357" s="52">
        <f>'Scenario 2 Assumptions'!D397*'Scenario 2 Assumptions'!E397</f>
        <v>0.14344599999999999</v>
      </c>
      <c r="C357" s="52">
        <v>0</v>
      </c>
      <c r="D357" s="52">
        <v>0</v>
      </c>
      <c r="E357" s="52">
        <v>0</v>
      </c>
      <c r="F357" s="52">
        <v>0</v>
      </c>
      <c r="G357" s="52">
        <v>0</v>
      </c>
      <c r="H357" s="52">
        <v>0</v>
      </c>
      <c r="I357" s="52">
        <v>0</v>
      </c>
      <c r="J357" s="52">
        <v>0</v>
      </c>
      <c r="K357" s="52">
        <v>0</v>
      </c>
      <c r="L357" s="52">
        <v>0</v>
      </c>
      <c r="M357" s="52">
        <v>0</v>
      </c>
      <c r="N357" s="52">
        <v>0</v>
      </c>
      <c r="O357" s="52">
        <v>0</v>
      </c>
      <c r="P357" s="52">
        <v>0</v>
      </c>
      <c r="Q357" s="52">
        <v>0</v>
      </c>
      <c r="R357" s="52">
        <v>0</v>
      </c>
      <c r="S357" s="52">
        <v>0</v>
      </c>
      <c r="T357" s="52">
        <v>0</v>
      </c>
      <c r="U357" s="52">
        <v>0</v>
      </c>
      <c r="V357" s="180">
        <f t="shared" ref="V357:V358" si="231">SUM(B357:U357)</f>
        <v>0.14344599999999999</v>
      </c>
      <c r="W357" s="161">
        <f t="shared" ref="W357:W358" si="232">V357/20</f>
        <v>7.1722999999999995E-3</v>
      </c>
    </row>
    <row r="358" spans="1:23" ht="25.5">
      <c r="A358" s="377" t="s">
        <v>1350</v>
      </c>
      <c r="B358" s="52">
        <f>B$134</f>
        <v>0.45022499999999999</v>
      </c>
      <c r="C358" s="52">
        <f t="shared" ref="C358:U358" si="233">C$134</f>
        <v>0.45022499999999999</v>
      </c>
      <c r="D358" s="52">
        <f t="shared" si="233"/>
        <v>0.45022499999999999</v>
      </c>
      <c r="E358" s="52">
        <f t="shared" si="233"/>
        <v>0.45022499999999999</v>
      </c>
      <c r="F358" s="52">
        <f t="shared" si="233"/>
        <v>0.45022499999999999</v>
      </c>
      <c r="G358" s="52">
        <f t="shared" si="233"/>
        <v>0.45022499999999999</v>
      </c>
      <c r="H358" s="52">
        <f t="shared" si="233"/>
        <v>0.45022499999999999</v>
      </c>
      <c r="I358" s="52">
        <f t="shared" si="233"/>
        <v>0.45022499999999999</v>
      </c>
      <c r="J358" s="52">
        <f t="shared" si="233"/>
        <v>0.45022499999999999</v>
      </c>
      <c r="K358" s="52">
        <f t="shared" si="233"/>
        <v>0.45022499999999999</v>
      </c>
      <c r="L358" s="52">
        <f t="shared" si="233"/>
        <v>0.45022499999999999</v>
      </c>
      <c r="M358" s="52">
        <f t="shared" si="233"/>
        <v>0.45022499999999999</v>
      </c>
      <c r="N358" s="52">
        <f t="shared" si="233"/>
        <v>0.45022499999999999</v>
      </c>
      <c r="O358" s="52">
        <f t="shared" si="233"/>
        <v>0.45022499999999999</v>
      </c>
      <c r="P358" s="52">
        <f t="shared" si="233"/>
        <v>0.45022499999999999</v>
      </c>
      <c r="Q358" s="52">
        <f t="shared" si="233"/>
        <v>0.45022499999999999</v>
      </c>
      <c r="R358" s="52">
        <f t="shared" si="233"/>
        <v>0.45022499999999999</v>
      </c>
      <c r="S358" s="52">
        <f t="shared" si="233"/>
        <v>0.45022499999999999</v>
      </c>
      <c r="T358" s="52">
        <f t="shared" si="233"/>
        <v>0.45022499999999999</v>
      </c>
      <c r="U358" s="52">
        <f t="shared" si="233"/>
        <v>0.45022499999999999</v>
      </c>
      <c r="V358" s="180">
        <f t="shared" si="231"/>
        <v>9.0044999999999966</v>
      </c>
      <c r="W358" s="161">
        <f t="shared" si="232"/>
        <v>0.45022499999999982</v>
      </c>
    </row>
    <row r="359" spans="1:23" s="99" customFormat="1">
      <c r="A359" s="131" t="s">
        <v>1339</v>
      </c>
      <c r="B359" s="52">
        <v>0</v>
      </c>
      <c r="C359" s="52">
        <v>0</v>
      </c>
      <c r="D359" s="52">
        <v>0</v>
      </c>
      <c r="E359" s="52">
        <v>0</v>
      </c>
      <c r="F359" s="52">
        <v>0</v>
      </c>
      <c r="G359" s="52">
        <v>0</v>
      </c>
      <c r="H359" s="52">
        <v>0</v>
      </c>
      <c r="I359" s="52">
        <v>0</v>
      </c>
      <c r="J359" s="52">
        <v>0</v>
      </c>
      <c r="K359" s="52">
        <v>0</v>
      </c>
      <c r="L359" s="52">
        <v>0</v>
      </c>
      <c r="M359" s="52">
        <v>0</v>
      </c>
      <c r="N359" s="52">
        <v>0</v>
      </c>
      <c r="O359" s="52">
        <v>0</v>
      </c>
      <c r="P359" s="52">
        <v>0</v>
      </c>
      <c r="Q359" s="52">
        <v>0</v>
      </c>
      <c r="R359" s="52">
        <v>0</v>
      </c>
      <c r="S359" s="52">
        <v>0</v>
      </c>
      <c r="T359" s="52">
        <v>0</v>
      </c>
      <c r="U359" s="52">
        <v>0</v>
      </c>
      <c r="V359" s="180">
        <f t="shared" ref="V359" si="234">SUM(B359:U359)</f>
        <v>0</v>
      </c>
      <c r="W359" s="161">
        <f t="shared" ref="W359:W366" si="235">V359/20</f>
        <v>0</v>
      </c>
    </row>
    <row r="360" spans="1:23" s="99" customFormat="1">
      <c r="A360" s="276"/>
      <c r="B360" s="52"/>
      <c r="C360" s="52"/>
      <c r="D360" s="52"/>
      <c r="E360" s="52"/>
      <c r="F360" s="52"/>
      <c r="G360" s="52"/>
      <c r="H360" s="52"/>
      <c r="I360" s="52"/>
      <c r="J360" s="52"/>
      <c r="K360" s="52"/>
      <c r="L360" s="52"/>
      <c r="M360" s="52"/>
      <c r="N360" s="52"/>
      <c r="O360" s="52"/>
      <c r="P360" s="52"/>
      <c r="Q360" s="52"/>
      <c r="R360" s="52"/>
      <c r="S360" s="52"/>
      <c r="T360" s="52"/>
      <c r="U360" s="52"/>
      <c r="V360" s="180"/>
      <c r="W360" s="161"/>
    </row>
    <row r="361" spans="1:23" s="99" customFormat="1">
      <c r="A361" s="197" t="s">
        <v>18</v>
      </c>
      <c r="B361" s="52"/>
      <c r="C361" s="52"/>
      <c r="D361" s="52"/>
      <c r="E361" s="52"/>
      <c r="F361" s="52"/>
      <c r="G361" s="52"/>
      <c r="H361" s="52"/>
      <c r="I361" s="52"/>
      <c r="J361" s="52"/>
      <c r="K361" s="52"/>
      <c r="L361" s="52"/>
      <c r="M361" s="52"/>
      <c r="N361" s="52"/>
      <c r="O361" s="52"/>
      <c r="P361" s="52"/>
      <c r="Q361" s="52"/>
      <c r="R361" s="52"/>
      <c r="S361" s="52"/>
      <c r="T361" s="52"/>
      <c r="U361" s="52"/>
      <c r="V361" s="180"/>
      <c r="W361" s="161"/>
    </row>
    <row r="362" spans="1:23">
      <c r="A362" s="131" t="s">
        <v>1339</v>
      </c>
      <c r="B362" s="52">
        <f>B$118</f>
        <v>3.8574999999999998E-2</v>
      </c>
      <c r="C362" s="52">
        <f t="shared" ref="C362:U362" si="236">C$118</f>
        <v>3.8574999999999998E-2</v>
      </c>
      <c r="D362" s="52">
        <f t="shared" si="236"/>
        <v>3.8574999999999998E-2</v>
      </c>
      <c r="E362" s="52">
        <f t="shared" si="236"/>
        <v>3.8574999999999998E-2</v>
      </c>
      <c r="F362" s="52">
        <f t="shared" si="236"/>
        <v>3.8574999999999998E-2</v>
      </c>
      <c r="G362" s="52">
        <f t="shared" si="236"/>
        <v>3.8574999999999998E-2</v>
      </c>
      <c r="H362" s="52">
        <f t="shared" si="236"/>
        <v>3.8574999999999998E-2</v>
      </c>
      <c r="I362" s="52">
        <f t="shared" si="236"/>
        <v>3.8574999999999998E-2</v>
      </c>
      <c r="J362" s="52">
        <f t="shared" si="236"/>
        <v>3.8574999999999998E-2</v>
      </c>
      <c r="K362" s="52">
        <f t="shared" si="236"/>
        <v>3.8574999999999998E-2</v>
      </c>
      <c r="L362" s="52">
        <f t="shared" si="236"/>
        <v>3.8574999999999998E-2</v>
      </c>
      <c r="M362" s="52">
        <f t="shared" si="236"/>
        <v>3.8574999999999998E-2</v>
      </c>
      <c r="N362" s="52">
        <f t="shared" si="236"/>
        <v>3.8574999999999998E-2</v>
      </c>
      <c r="O362" s="52">
        <f t="shared" si="236"/>
        <v>3.8574999999999998E-2</v>
      </c>
      <c r="P362" s="52">
        <f t="shared" si="236"/>
        <v>3.8574999999999998E-2</v>
      </c>
      <c r="Q362" s="52">
        <f t="shared" si="236"/>
        <v>3.8574999999999998E-2</v>
      </c>
      <c r="R362" s="52">
        <f t="shared" si="236"/>
        <v>3.8574999999999998E-2</v>
      </c>
      <c r="S362" s="52">
        <f t="shared" si="236"/>
        <v>3.8574999999999998E-2</v>
      </c>
      <c r="T362" s="52">
        <f t="shared" si="236"/>
        <v>3.8574999999999998E-2</v>
      </c>
      <c r="U362" s="52">
        <f t="shared" si="236"/>
        <v>3.8574999999999998E-2</v>
      </c>
      <c r="V362" s="180">
        <f t="shared" ref="V362" si="237">SUM(B362:U362)</f>
        <v>0.7715000000000003</v>
      </c>
      <c r="W362" s="161">
        <f t="shared" ref="W362" si="238">V362/20</f>
        <v>3.8575000000000012E-2</v>
      </c>
    </row>
    <row r="363" spans="1:23">
      <c r="A363" s="100"/>
      <c r="B363" s="52"/>
      <c r="C363" s="52"/>
      <c r="D363" s="52"/>
      <c r="E363" s="52"/>
      <c r="F363" s="52"/>
      <c r="G363" s="52"/>
      <c r="H363" s="52"/>
      <c r="I363" s="52"/>
      <c r="J363" s="52"/>
      <c r="K363" s="52"/>
      <c r="L363" s="52"/>
      <c r="M363" s="52"/>
      <c r="N363" s="52"/>
      <c r="O363" s="52"/>
      <c r="P363" s="52"/>
      <c r="Q363" s="52"/>
      <c r="R363" s="52"/>
      <c r="S363" s="52"/>
      <c r="T363" s="52"/>
      <c r="U363" s="52"/>
      <c r="V363" s="180"/>
      <c r="W363" s="161"/>
    </row>
    <row r="364" spans="1:23">
      <c r="A364" s="197" t="s">
        <v>1340</v>
      </c>
      <c r="V364" s="180"/>
      <c r="W364" s="161"/>
    </row>
    <row r="365" spans="1:23">
      <c r="A365" s="100" t="s">
        <v>679</v>
      </c>
      <c r="B365" s="116">
        <f>SUM(B356:B359)</f>
        <v>0.63248349999999998</v>
      </c>
      <c r="C365" s="116">
        <f t="shared" ref="C365:U365" si="239">SUM(C356:C359)</f>
        <v>0.45022499999999999</v>
      </c>
      <c r="D365" s="116">
        <f t="shared" si="239"/>
        <v>0.45022499999999999</v>
      </c>
      <c r="E365" s="116">
        <f t="shared" si="239"/>
        <v>0.48903750000000001</v>
      </c>
      <c r="F365" s="116">
        <f t="shared" si="239"/>
        <v>0.45022499999999999</v>
      </c>
      <c r="G365" s="116">
        <f t="shared" si="239"/>
        <v>0.45022499999999999</v>
      </c>
      <c r="H365" s="116">
        <f t="shared" si="239"/>
        <v>0.48903750000000001</v>
      </c>
      <c r="I365" s="116">
        <f t="shared" si="239"/>
        <v>0.45022499999999999</v>
      </c>
      <c r="J365" s="116">
        <f t="shared" si="239"/>
        <v>0.45022499999999999</v>
      </c>
      <c r="K365" s="116">
        <f t="shared" si="239"/>
        <v>0.48903750000000001</v>
      </c>
      <c r="L365" s="116">
        <f t="shared" si="239"/>
        <v>0.45022499999999999</v>
      </c>
      <c r="M365" s="116">
        <f t="shared" si="239"/>
        <v>0.45022499999999999</v>
      </c>
      <c r="N365" s="116">
        <f t="shared" si="239"/>
        <v>0.48903750000000001</v>
      </c>
      <c r="O365" s="116">
        <f t="shared" si="239"/>
        <v>0.45022499999999999</v>
      </c>
      <c r="P365" s="116">
        <f t="shared" si="239"/>
        <v>0.45022499999999999</v>
      </c>
      <c r="Q365" s="116">
        <f t="shared" si="239"/>
        <v>0.48903750000000001</v>
      </c>
      <c r="R365" s="116">
        <f t="shared" si="239"/>
        <v>0.45022499999999999</v>
      </c>
      <c r="S365" s="116">
        <f t="shared" si="239"/>
        <v>0.45022499999999999</v>
      </c>
      <c r="T365" s="116">
        <f t="shared" si="239"/>
        <v>0.48903750000000001</v>
      </c>
      <c r="U365" s="116">
        <f t="shared" si="239"/>
        <v>0.45022499999999999</v>
      </c>
      <c r="V365" s="180">
        <f t="shared" ref="V365:V366" si="240">SUM(B365:U365)</f>
        <v>9.4196334999999998</v>
      </c>
      <c r="W365" s="161">
        <f t="shared" si="235"/>
        <v>0.47098167499999999</v>
      </c>
    </row>
    <row r="366" spans="1:23">
      <c r="A366" s="100" t="s">
        <v>680</v>
      </c>
      <c r="B366" s="52">
        <f>SUM(B362)</f>
        <v>3.8574999999999998E-2</v>
      </c>
      <c r="C366" s="52">
        <f t="shared" ref="C366:U366" si="241">SUM(C362)</f>
        <v>3.8574999999999998E-2</v>
      </c>
      <c r="D366" s="52">
        <f t="shared" si="241"/>
        <v>3.8574999999999998E-2</v>
      </c>
      <c r="E366" s="52">
        <f t="shared" si="241"/>
        <v>3.8574999999999998E-2</v>
      </c>
      <c r="F366" s="52">
        <f t="shared" si="241"/>
        <v>3.8574999999999998E-2</v>
      </c>
      <c r="G366" s="52">
        <f t="shared" si="241"/>
        <v>3.8574999999999998E-2</v>
      </c>
      <c r="H366" s="52">
        <f t="shared" si="241"/>
        <v>3.8574999999999998E-2</v>
      </c>
      <c r="I366" s="52">
        <f t="shared" si="241"/>
        <v>3.8574999999999998E-2</v>
      </c>
      <c r="J366" s="52">
        <f t="shared" si="241"/>
        <v>3.8574999999999998E-2</v>
      </c>
      <c r="K366" s="52">
        <f t="shared" si="241"/>
        <v>3.8574999999999998E-2</v>
      </c>
      <c r="L366" s="52">
        <f t="shared" si="241"/>
        <v>3.8574999999999998E-2</v>
      </c>
      <c r="M366" s="52">
        <f t="shared" si="241"/>
        <v>3.8574999999999998E-2</v>
      </c>
      <c r="N366" s="52">
        <f t="shared" si="241"/>
        <v>3.8574999999999998E-2</v>
      </c>
      <c r="O366" s="52">
        <f t="shared" si="241"/>
        <v>3.8574999999999998E-2</v>
      </c>
      <c r="P366" s="52">
        <f t="shared" si="241"/>
        <v>3.8574999999999998E-2</v>
      </c>
      <c r="Q366" s="52">
        <f t="shared" si="241"/>
        <v>3.8574999999999998E-2</v>
      </c>
      <c r="R366" s="52">
        <f t="shared" si="241"/>
        <v>3.8574999999999998E-2</v>
      </c>
      <c r="S366" s="52">
        <f t="shared" si="241"/>
        <v>3.8574999999999998E-2</v>
      </c>
      <c r="T366" s="52">
        <f t="shared" si="241"/>
        <v>3.8574999999999998E-2</v>
      </c>
      <c r="U366" s="52">
        <f t="shared" si="241"/>
        <v>3.8574999999999998E-2</v>
      </c>
      <c r="V366" s="180">
        <f t="shared" si="240"/>
        <v>0.7715000000000003</v>
      </c>
      <c r="W366" s="161">
        <f t="shared" si="235"/>
        <v>3.8575000000000012E-2</v>
      </c>
    </row>
    <row r="367" spans="1:23">
      <c r="A367" s="263" t="s">
        <v>1147</v>
      </c>
      <c r="B367" s="34">
        <f>SUM(B365:B366)</f>
        <v>0.6710585</v>
      </c>
      <c r="C367" s="34">
        <f t="shared" ref="C367:U367" si="242">SUM(C365:C366)</f>
        <v>0.48880000000000001</v>
      </c>
      <c r="D367" s="34">
        <f t="shared" si="242"/>
        <v>0.48880000000000001</v>
      </c>
      <c r="E367" s="34">
        <f t="shared" si="242"/>
        <v>0.52761250000000004</v>
      </c>
      <c r="F367" s="34">
        <f t="shared" si="242"/>
        <v>0.48880000000000001</v>
      </c>
      <c r="G367" s="34">
        <f t="shared" si="242"/>
        <v>0.48880000000000001</v>
      </c>
      <c r="H367" s="34">
        <f t="shared" si="242"/>
        <v>0.52761250000000004</v>
      </c>
      <c r="I367" s="34">
        <f t="shared" si="242"/>
        <v>0.48880000000000001</v>
      </c>
      <c r="J367" s="34">
        <f t="shared" si="242"/>
        <v>0.48880000000000001</v>
      </c>
      <c r="K367" s="34">
        <f t="shared" si="242"/>
        <v>0.52761250000000004</v>
      </c>
      <c r="L367" s="34">
        <f t="shared" si="242"/>
        <v>0.48880000000000001</v>
      </c>
      <c r="M367" s="34">
        <f t="shared" si="242"/>
        <v>0.48880000000000001</v>
      </c>
      <c r="N367" s="34">
        <f t="shared" si="242"/>
        <v>0.52761250000000004</v>
      </c>
      <c r="O367" s="34">
        <f t="shared" si="242"/>
        <v>0.48880000000000001</v>
      </c>
      <c r="P367" s="34">
        <f t="shared" si="242"/>
        <v>0.48880000000000001</v>
      </c>
      <c r="Q367" s="34">
        <f t="shared" si="242"/>
        <v>0.52761250000000004</v>
      </c>
      <c r="R367" s="34">
        <f t="shared" si="242"/>
        <v>0.48880000000000001</v>
      </c>
      <c r="S367" s="34">
        <f t="shared" si="242"/>
        <v>0.48880000000000001</v>
      </c>
      <c r="T367" s="34">
        <f t="shared" si="242"/>
        <v>0.52761250000000004</v>
      </c>
      <c r="U367" s="34">
        <f t="shared" si="242"/>
        <v>0.48880000000000001</v>
      </c>
      <c r="V367" s="182">
        <f t="shared" ref="V367" si="243">SUM(B367:U367)</f>
        <v>10.191133500000001</v>
      </c>
      <c r="W367" s="283">
        <f t="shared" ref="W367" si="244">V367/20</f>
        <v>0.50955667500000001</v>
      </c>
    </row>
    <row r="368" spans="1:23">
      <c r="A368" s="269" t="s">
        <v>123</v>
      </c>
      <c r="B368" s="52">
        <v>0.96618357487922713</v>
      </c>
      <c r="C368" s="52">
        <v>0.93351070036640305</v>
      </c>
      <c r="D368" s="52">
        <v>0.90194270566802237</v>
      </c>
      <c r="E368" s="52">
        <v>0.87144222769857238</v>
      </c>
      <c r="F368" s="52">
        <v>0.84197316685852419</v>
      </c>
      <c r="G368" s="52">
        <v>0.81350064430775282</v>
      </c>
      <c r="H368" s="52">
        <v>0.78599096068381913</v>
      </c>
      <c r="I368" s="52">
        <v>0.75941155621625056</v>
      </c>
      <c r="J368" s="52">
        <v>0.73373097218961414</v>
      </c>
      <c r="K368" s="52">
        <v>0.70891881370977217</v>
      </c>
      <c r="L368" s="52">
        <v>0.68494571372924851</v>
      </c>
      <c r="M368" s="52">
        <v>0.66178329828912896</v>
      </c>
      <c r="N368" s="52">
        <v>0.63940415293635666</v>
      </c>
      <c r="O368" s="52">
        <v>0.61778179027667302</v>
      </c>
      <c r="P368" s="52">
        <v>0.59689061862480497</v>
      </c>
      <c r="Q368" s="52">
        <v>0.57670591171478747</v>
      </c>
      <c r="R368" s="52">
        <v>0.55720377943457733</v>
      </c>
      <c r="S368" s="52">
        <v>0.53836113955031628</v>
      </c>
      <c r="T368" s="52">
        <v>0.52015569038677911</v>
      </c>
      <c r="U368" s="52">
        <v>0.50256588443167061</v>
      </c>
      <c r="V368" s="179"/>
      <c r="W368" s="140"/>
    </row>
    <row r="369" spans="1:23" ht="26.25" thickBot="1">
      <c r="A369" s="43" t="s">
        <v>1148</v>
      </c>
      <c r="B369" s="38">
        <f>B368*B367</f>
        <v>0.64836570048309183</v>
      </c>
      <c r="C369" s="38">
        <f t="shared" ref="C369:U369" si="245">C368*C367</f>
        <v>0.45630003033909783</v>
      </c>
      <c r="D369" s="38">
        <f t="shared" si="245"/>
        <v>0.44086959453052932</v>
      </c>
      <c r="E369" s="38">
        <f t="shared" si="245"/>
        <v>0.45978381236161303</v>
      </c>
      <c r="F369" s="38">
        <f t="shared" si="245"/>
        <v>0.41155648396044664</v>
      </c>
      <c r="G369" s="38">
        <f t="shared" si="245"/>
        <v>0.3976391149376296</v>
      </c>
      <c r="H369" s="38">
        <f t="shared" si="245"/>
        <v>0.41469865574379156</v>
      </c>
      <c r="I369" s="38">
        <f t="shared" si="245"/>
        <v>0.37120036867850326</v>
      </c>
      <c r="J369" s="38">
        <f t="shared" si="245"/>
        <v>0.35864769920628342</v>
      </c>
      <c r="K369" s="38">
        <f t="shared" si="245"/>
        <v>0.37403442759844718</v>
      </c>
      <c r="L369" s="38">
        <f t="shared" si="245"/>
        <v>0.33480146487085666</v>
      </c>
      <c r="M369" s="38">
        <f t="shared" si="245"/>
        <v>0.32347967620372625</v>
      </c>
      <c r="N369" s="38">
        <f t="shared" si="245"/>
        <v>0.33735762364113353</v>
      </c>
      <c r="O369" s="38">
        <f t="shared" si="245"/>
        <v>0.30197173908723779</v>
      </c>
      <c r="P369" s="38">
        <f t="shared" si="245"/>
        <v>0.29176013438380466</v>
      </c>
      <c r="Q369" s="38">
        <f t="shared" si="245"/>
        <v>0.30427724784461835</v>
      </c>
      <c r="R369" s="38">
        <f t="shared" si="245"/>
        <v>0.27236120738762143</v>
      </c>
      <c r="S369" s="38">
        <f t="shared" si="245"/>
        <v>0.26315092501219461</v>
      </c>
      <c r="T369" s="38">
        <f t="shared" si="245"/>
        <v>0.27444064419419451</v>
      </c>
      <c r="U369" s="38">
        <f t="shared" si="245"/>
        <v>0.2456542043102006</v>
      </c>
      <c r="V369" s="378">
        <f t="shared" ref="V369" si="246">SUM(B369:U369)</f>
        <v>7.2823507547750221</v>
      </c>
      <c r="W369" s="146"/>
    </row>
    <row r="370" spans="1:23" ht="13.5" thickBot="1">
      <c r="A370" s="4"/>
      <c r="B370" s="100"/>
      <c r="C370" s="100"/>
      <c r="D370" s="100"/>
      <c r="E370" s="100"/>
      <c r="F370" s="100"/>
      <c r="G370" s="100"/>
      <c r="H370" s="100"/>
      <c r="I370" s="100"/>
      <c r="J370" s="100"/>
      <c r="K370" s="100"/>
      <c r="L370" s="100"/>
      <c r="M370" s="100"/>
      <c r="N370" s="100"/>
      <c r="O370" s="100"/>
      <c r="P370" s="100"/>
      <c r="Q370" s="100"/>
      <c r="R370" s="100"/>
      <c r="S370" s="100"/>
      <c r="T370" s="100"/>
      <c r="U370" s="100"/>
      <c r="V370" s="100"/>
      <c r="W370" s="81"/>
    </row>
    <row r="371" spans="1:23" ht="17.25" customHeight="1">
      <c r="A371" s="274" t="s">
        <v>1043</v>
      </c>
      <c r="B371" s="188"/>
      <c r="C371" s="188"/>
      <c r="D371" s="188"/>
      <c r="E371" s="188"/>
      <c r="F371" s="188"/>
      <c r="G371" s="188"/>
      <c r="H371" s="188"/>
      <c r="I371" s="188"/>
      <c r="J371" s="188"/>
      <c r="K371" s="188"/>
      <c r="L371" s="188"/>
      <c r="M371" s="188"/>
      <c r="N371" s="188"/>
      <c r="O371" s="188"/>
      <c r="P371" s="188"/>
      <c r="Q371" s="188"/>
      <c r="R371" s="188"/>
      <c r="S371" s="188"/>
      <c r="T371" s="188"/>
      <c r="U371" s="188"/>
      <c r="V371" s="178"/>
      <c r="W371" s="130"/>
    </row>
    <row r="372" spans="1:23">
      <c r="A372" s="197" t="s">
        <v>17</v>
      </c>
      <c r="B372" s="100"/>
      <c r="C372" s="100"/>
      <c r="D372" s="100"/>
      <c r="E372" s="100"/>
      <c r="F372" s="100"/>
      <c r="G372" s="100"/>
      <c r="H372" s="100"/>
      <c r="I372" s="100"/>
      <c r="J372" s="100"/>
      <c r="K372" s="100"/>
      <c r="L372" s="100"/>
      <c r="M372" s="100"/>
      <c r="N372" s="100"/>
      <c r="O372" s="100"/>
      <c r="P372" s="100"/>
      <c r="Q372" s="100"/>
      <c r="R372" s="100"/>
      <c r="S372" s="100"/>
      <c r="T372" s="100"/>
      <c r="U372" s="100"/>
      <c r="V372" s="179"/>
      <c r="W372" s="140"/>
    </row>
    <row r="373" spans="1:23" s="99" customFormat="1" ht="51">
      <c r="A373" s="200" t="s">
        <v>1341</v>
      </c>
      <c r="B373" s="52">
        <f>B$220*0.5</f>
        <v>2.3625E-2</v>
      </c>
      <c r="C373" s="52">
        <f t="shared" ref="C373:U373" si="247">C$220*0.5</f>
        <v>0</v>
      </c>
      <c r="D373" s="52">
        <f t="shared" si="247"/>
        <v>0</v>
      </c>
      <c r="E373" s="52">
        <f t="shared" si="247"/>
        <v>2.3625E-2</v>
      </c>
      <c r="F373" s="52">
        <f t="shared" si="247"/>
        <v>0</v>
      </c>
      <c r="G373" s="52">
        <f t="shared" si="247"/>
        <v>0</v>
      </c>
      <c r="H373" s="52">
        <f t="shared" si="247"/>
        <v>2.3625E-2</v>
      </c>
      <c r="I373" s="52">
        <f t="shared" si="247"/>
        <v>0</v>
      </c>
      <c r="J373" s="52">
        <f t="shared" si="247"/>
        <v>0</v>
      </c>
      <c r="K373" s="52">
        <f t="shared" si="247"/>
        <v>2.3625E-2</v>
      </c>
      <c r="L373" s="52">
        <f t="shared" si="247"/>
        <v>0</v>
      </c>
      <c r="M373" s="52">
        <f t="shared" si="247"/>
        <v>0</v>
      </c>
      <c r="N373" s="52">
        <f t="shared" si="247"/>
        <v>2.3625E-2</v>
      </c>
      <c r="O373" s="52">
        <f t="shared" si="247"/>
        <v>0</v>
      </c>
      <c r="P373" s="52">
        <f t="shared" si="247"/>
        <v>0</v>
      </c>
      <c r="Q373" s="52">
        <f t="shared" si="247"/>
        <v>2.3625E-2</v>
      </c>
      <c r="R373" s="52">
        <f t="shared" si="247"/>
        <v>0</v>
      </c>
      <c r="S373" s="52">
        <f t="shared" si="247"/>
        <v>0</v>
      </c>
      <c r="T373" s="52">
        <f t="shared" si="247"/>
        <v>2.3625E-2</v>
      </c>
      <c r="U373" s="52">
        <f t="shared" si="247"/>
        <v>0</v>
      </c>
      <c r="V373" s="180">
        <f t="shared" ref="V373" si="248">SUM(B373:U373)</f>
        <v>0.16537500000000002</v>
      </c>
      <c r="W373" s="161">
        <f t="shared" ref="W373" si="249">V373/20</f>
        <v>8.2687500000000018E-3</v>
      </c>
    </row>
    <row r="374" spans="1:23" s="99" customFormat="1" ht="38.25">
      <c r="A374" s="200" t="s">
        <v>1342</v>
      </c>
      <c r="B374" s="52">
        <f>'Scenario 2 Assumptions'!D409*'Scenario 2 Assumptions'!E409</f>
        <v>2.5313999999999996E-2</v>
      </c>
      <c r="C374" s="52">
        <v>0</v>
      </c>
      <c r="D374" s="52">
        <v>0</v>
      </c>
      <c r="E374" s="52">
        <v>0</v>
      </c>
      <c r="F374" s="52">
        <v>0</v>
      </c>
      <c r="G374" s="52">
        <v>0</v>
      </c>
      <c r="H374" s="52">
        <v>0</v>
      </c>
      <c r="I374" s="52">
        <v>0</v>
      </c>
      <c r="J374" s="52">
        <v>0</v>
      </c>
      <c r="K374" s="52">
        <v>0</v>
      </c>
      <c r="L374" s="52">
        <v>0</v>
      </c>
      <c r="M374" s="52">
        <v>0</v>
      </c>
      <c r="N374" s="52">
        <v>0</v>
      </c>
      <c r="O374" s="52">
        <v>0</v>
      </c>
      <c r="P374" s="52">
        <v>0</v>
      </c>
      <c r="Q374" s="52">
        <v>0</v>
      </c>
      <c r="R374" s="52">
        <v>0</v>
      </c>
      <c r="S374" s="52">
        <v>0</v>
      </c>
      <c r="T374" s="52">
        <v>0</v>
      </c>
      <c r="U374" s="52">
        <v>0</v>
      </c>
      <c r="V374" s="180">
        <f t="shared" ref="V374:V375" si="250">SUM(B374:U374)</f>
        <v>2.5313999999999996E-2</v>
      </c>
      <c r="W374" s="161">
        <f t="shared" ref="W374:W375" si="251">V374/20</f>
        <v>1.2656999999999998E-3</v>
      </c>
    </row>
    <row r="375" spans="1:23" ht="25.5">
      <c r="A375" s="377" t="s">
        <v>1350</v>
      </c>
      <c r="B375" s="52">
        <f>B$221</f>
        <v>6.3450000000000006E-2</v>
      </c>
      <c r="C375" s="52">
        <f t="shared" ref="C375:U375" si="252">C$221</f>
        <v>1.6199999999999999E-2</v>
      </c>
      <c r="D375" s="52">
        <f t="shared" si="252"/>
        <v>1.6199999999999999E-2</v>
      </c>
      <c r="E375" s="52">
        <f t="shared" si="252"/>
        <v>6.3450000000000006E-2</v>
      </c>
      <c r="F375" s="52">
        <f t="shared" si="252"/>
        <v>1.6199999999999999E-2</v>
      </c>
      <c r="G375" s="52">
        <f t="shared" si="252"/>
        <v>1.6199999999999999E-2</v>
      </c>
      <c r="H375" s="52">
        <f t="shared" si="252"/>
        <v>6.3450000000000006E-2</v>
      </c>
      <c r="I375" s="52">
        <f t="shared" si="252"/>
        <v>1.6199999999999999E-2</v>
      </c>
      <c r="J375" s="52">
        <f t="shared" si="252"/>
        <v>1.6199999999999999E-2</v>
      </c>
      <c r="K375" s="52">
        <f t="shared" si="252"/>
        <v>6.3450000000000006E-2</v>
      </c>
      <c r="L375" s="52">
        <f t="shared" si="252"/>
        <v>1.6199999999999999E-2</v>
      </c>
      <c r="M375" s="52">
        <f t="shared" si="252"/>
        <v>1.6199999999999999E-2</v>
      </c>
      <c r="N375" s="52">
        <f t="shared" si="252"/>
        <v>6.3450000000000006E-2</v>
      </c>
      <c r="O375" s="52">
        <f t="shared" si="252"/>
        <v>1.6199999999999999E-2</v>
      </c>
      <c r="P375" s="52">
        <f t="shared" si="252"/>
        <v>1.6199999999999999E-2</v>
      </c>
      <c r="Q375" s="52">
        <f t="shared" si="252"/>
        <v>6.3450000000000006E-2</v>
      </c>
      <c r="R375" s="52">
        <f t="shared" si="252"/>
        <v>1.6199999999999999E-2</v>
      </c>
      <c r="S375" s="52">
        <f t="shared" si="252"/>
        <v>1.6199999999999999E-2</v>
      </c>
      <c r="T375" s="52">
        <f t="shared" si="252"/>
        <v>6.3450000000000006E-2</v>
      </c>
      <c r="U375" s="52">
        <f t="shared" si="252"/>
        <v>1.6199999999999999E-2</v>
      </c>
      <c r="V375" s="180">
        <f t="shared" si="250"/>
        <v>0.65474999999999994</v>
      </c>
      <c r="W375" s="161">
        <f t="shared" si="251"/>
        <v>3.2737499999999996E-2</v>
      </c>
    </row>
    <row r="376" spans="1:23">
      <c r="A376" s="131" t="s">
        <v>1339</v>
      </c>
      <c r="B376" s="52">
        <v>0</v>
      </c>
      <c r="C376" s="52">
        <v>0</v>
      </c>
      <c r="D376" s="52">
        <v>0</v>
      </c>
      <c r="E376" s="52">
        <v>0</v>
      </c>
      <c r="F376" s="52">
        <v>0</v>
      </c>
      <c r="G376" s="52">
        <v>0</v>
      </c>
      <c r="H376" s="52">
        <v>0</v>
      </c>
      <c r="I376" s="52">
        <v>0</v>
      </c>
      <c r="J376" s="52">
        <v>0</v>
      </c>
      <c r="K376" s="52">
        <v>0</v>
      </c>
      <c r="L376" s="52">
        <v>0</v>
      </c>
      <c r="M376" s="52">
        <v>0</v>
      </c>
      <c r="N376" s="52">
        <v>0</v>
      </c>
      <c r="O376" s="52">
        <v>0</v>
      </c>
      <c r="P376" s="52">
        <v>0</v>
      </c>
      <c r="Q376" s="52">
        <v>0</v>
      </c>
      <c r="R376" s="52">
        <v>0</v>
      </c>
      <c r="S376" s="52">
        <v>0</v>
      </c>
      <c r="T376" s="52">
        <v>0</v>
      </c>
      <c r="U376" s="52">
        <v>0</v>
      </c>
      <c r="V376" s="180">
        <f t="shared" ref="V376" si="253">SUM(B376:U376)</f>
        <v>0</v>
      </c>
      <c r="W376" s="161">
        <f t="shared" ref="W376" si="254">V376/20</f>
        <v>0</v>
      </c>
    </row>
    <row r="377" spans="1:23">
      <c r="A377" s="276"/>
      <c r="B377" s="52"/>
      <c r="C377" s="52"/>
      <c r="D377" s="52"/>
      <c r="E377" s="52"/>
      <c r="F377" s="52"/>
      <c r="G377" s="52"/>
      <c r="H377" s="52"/>
      <c r="I377" s="52"/>
      <c r="J377" s="52"/>
      <c r="K377" s="52"/>
      <c r="L377" s="52"/>
      <c r="M377" s="52"/>
      <c r="N377" s="52"/>
      <c r="O377" s="52"/>
      <c r="P377" s="52"/>
      <c r="Q377" s="52"/>
      <c r="R377" s="52"/>
      <c r="S377" s="52"/>
      <c r="T377" s="52"/>
      <c r="U377" s="52"/>
      <c r="V377" s="180"/>
      <c r="W377" s="161"/>
    </row>
    <row r="378" spans="1:23">
      <c r="A378" s="197" t="s">
        <v>18</v>
      </c>
      <c r="B378" s="52"/>
      <c r="C378" s="52"/>
      <c r="D378" s="52"/>
      <c r="E378" s="52"/>
      <c r="F378" s="52"/>
      <c r="G378" s="52"/>
      <c r="H378" s="52"/>
      <c r="I378" s="52"/>
      <c r="J378" s="52"/>
      <c r="K378" s="52"/>
      <c r="L378" s="52"/>
      <c r="M378" s="52"/>
      <c r="N378" s="52"/>
      <c r="O378" s="52"/>
      <c r="P378" s="52"/>
      <c r="Q378" s="52"/>
      <c r="R378" s="52"/>
      <c r="S378" s="52"/>
      <c r="T378" s="52"/>
      <c r="U378" s="52"/>
      <c r="V378" s="180"/>
      <c r="W378" s="161"/>
    </row>
    <row r="379" spans="1:23">
      <c r="A379" s="131" t="s">
        <v>1339</v>
      </c>
      <c r="B379" s="52">
        <v>0</v>
      </c>
      <c r="C379" s="52">
        <v>0</v>
      </c>
      <c r="D379" s="52">
        <v>0</v>
      </c>
      <c r="E379" s="52">
        <v>0</v>
      </c>
      <c r="F379" s="52">
        <v>0</v>
      </c>
      <c r="G379" s="52">
        <v>0</v>
      </c>
      <c r="H379" s="52">
        <v>0</v>
      </c>
      <c r="I379" s="52">
        <v>0</v>
      </c>
      <c r="J379" s="52">
        <v>0</v>
      </c>
      <c r="K379" s="52">
        <v>0</v>
      </c>
      <c r="L379" s="52">
        <v>0</v>
      </c>
      <c r="M379" s="52">
        <v>0</v>
      </c>
      <c r="N379" s="52">
        <v>0</v>
      </c>
      <c r="O379" s="52">
        <v>0</v>
      </c>
      <c r="P379" s="52">
        <v>0</v>
      </c>
      <c r="Q379" s="52">
        <v>0</v>
      </c>
      <c r="R379" s="52">
        <v>0</v>
      </c>
      <c r="S379" s="52">
        <v>0</v>
      </c>
      <c r="T379" s="52">
        <v>0</v>
      </c>
      <c r="U379" s="52">
        <v>0</v>
      </c>
      <c r="V379" s="180">
        <f t="shared" ref="V379" si="255">SUM(B379:U379)</f>
        <v>0</v>
      </c>
      <c r="W379" s="161">
        <f>V379/20</f>
        <v>0</v>
      </c>
    </row>
    <row r="380" spans="1:23">
      <c r="V380" s="180"/>
      <c r="W380" s="161"/>
    </row>
    <row r="381" spans="1:23">
      <c r="A381" s="197" t="s">
        <v>1340</v>
      </c>
      <c r="V381" s="180"/>
      <c r="W381" s="161"/>
    </row>
    <row r="382" spans="1:23">
      <c r="A382" s="100" t="s">
        <v>679</v>
      </c>
      <c r="B382" s="52">
        <f>SUM(B373:B376)</f>
        <v>0.112389</v>
      </c>
      <c r="C382" s="52">
        <f t="shared" ref="C382:U382" si="256">SUM(C373:C376)</f>
        <v>1.6199999999999999E-2</v>
      </c>
      <c r="D382" s="52">
        <f t="shared" si="256"/>
        <v>1.6199999999999999E-2</v>
      </c>
      <c r="E382" s="52">
        <f t="shared" si="256"/>
        <v>8.7075000000000014E-2</v>
      </c>
      <c r="F382" s="52">
        <f t="shared" si="256"/>
        <v>1.6199999999999999E-2</v>
      </c>
      <c r="G382" s="52">
        <f t="shared" si="256"/>
        <v>1.6199999999999999E-2</v>
      </c>
      <c r="H382" s="52">
        <f t="shared" si="256"/>
        <v>8.7075000000000014E-2</v>
      </c>
      <c r="I382" s="52">
        <f t="shared" si="256"/>
        <v>1.6199999999999999E-2</v>
      </c>
      <c r="J382" s="52">
        <f t="shared" si="256"/>
        <v>1.6199999999999999E-2</v>
      </c>
      <c r="K382" s="52">
        <f t="shared" si="256"/>
        <v>8.7075000000000014E-2</v>
      </c>
      <c r="L382" s="52">
        <f t="shared" si="256"/>
        <v>1.6199999999999999E-2</v>
      </c>
      <c r="M382" s="52">
        <f t="shared" si="256"/>
        <v>1.6199999999999999E-2</v>
      </c>
      <c r="N382" s="52">
        <f t="shared" si="256"/>
        <v>8.7075000000000014E-2</v>
      </c>
      <c r="O382" s="52">
        <f t="shared" si="256"/>
        <v>1.6199999999999999E-2</v>
      </c>
      <c r="P382" s="52">
        <f t="shared" si="256"/>
        <v>1.6199999999999999E-2</v>
      </c>
      <c r="Q382" s="52">
        <f t="shared" si="256"/>
        <v>8.7075000000000014E-2</v>
      </c>
      <c r="R382" s="52">
        <f t="shared" si="256"/>
        <v>1.6199999999999999E-2</v>
      </c>
      <c r="S382" s="52">
        <f t="shared" si="256"/>
        <v>1.6199999999999999E-2</v>
      </c>
      <c r="T382" s="52">
        <f t="shared" si="256"/>
        <v>8.7075000000000014E-2</v>
      </c>
      <c r="U382" s="52">
        <f t="shared" si="256"/>
        <v>1.6199999999999999E-2</v>
      </c>
      <c r="V382" s="180">
        <f t="shared" ref="V382:V383" si="257">SUM(B382:U382)</f>
        <v>0.84543900000000005</v>
      </c>
      <c r="W382" s="161">
        <f t="shared" ref="W382:W383" si="258">V382/20</f>
        <v>4.2271950000000003E-2</v>
      </c>
    </row>
    <row r="383" spans="1:23">
      <c r="A383" s="100" t="s">
        <v>680</v>
      </c>
      <c r="B383" s="52">
        <f>B379</f>
        <v>0</v>
      </c>
      <c r="C383" s="52">
        <f t="shared" ref="C383:U383" si="259">C379</f>
        <v>0</v>
      </c>
      <c r="D383" s="52">
        <f t="shared" si="259"/>
        <v>0</v>
      </c>
      <c r="E383" s="52">
        <f t="shared" si="259"/>
        <v>0</v>
      </c>
      <c r="F383" s="52">
        <f t="shared" si="259"/>
        <v>0</v>
      </c>
      <c r="G383" s="52">
        <f t="shared" si="259"/>
        <v>0</v>
      </c>
      <c r="H383" s="52">
        <f t="shared" si="259"/>
        <v>0</v>
      </c>
      <c r="I383" s="52">
        <f t="shared" si="259"/>
        <v>0</v>
      </c>
      <c r="J383" s="52">
        <f t="shared" si="259"/>
        <v>0</v>
      </c>
      <c r="K383" s="52">
        <f t="shared" si="259"/>
        <v>0</v>
      </c>
      <c r="L383" s="52">
        <f t="shared" si="259"/>
        <v>0</v>
      </c>
      <c r="M383" s="52">
        <f t="shared" si="259"/>
        <v>0</v>
      </c>
      <c r="N383" s="52">
        <f t="shared" si="259"/>
        <v>0</v>
      </c>
      <c r="O383" s="52">
        <f t="shared" si="259"/>
        <v>0</v>
      </c>
      <c r="P383" s="52">
        <f t="shared" si="259"/>
        <v>0</v>
      </c>
      <c r="Q383" s="52">
        <f t="shared" si="259"/>
        <v>0</v>
      </c>
      <c r="R383" s="52">
        <f t="shared" si="259"/>
        <v>0</v>
      </c>
      <c r="S383" s="52">
        <f t="shared" si="259"/>
        <v>0</v>
      </c>
      <c r="T383" s="52">
        <f t="shared" si="259"/>
        <v>0</v>
      </c>
      <c r="U383" s="52">
        <f t="shared" si="259"/>
        <v>0</v>
      </c>
      <c r="V383" s="180">
        <f t="shared" si="257"/>
        <v>0</v>
      </c>
      <c r="W383" s="161">
        <f t="shared" si="258"/>
        <v>0</v>
      </c>
    </row>
    <row r="384" spans="1:23">
      <c r="A384" s="263" t="s">
        <v>1147</v>
      </c>
      <c r="B384" s="34">
        <f>SUM(B382:B383)</f>
        <v>0.112389</v>
      </c>
      <c r="C384" s="34">
        <f t="shared" ref="C384:U384" si="260">SUM(C382:C383)</f>
        <v>1.6199999999999999E-2</v>
      </c>
      <c r="D384" s="34">
        <f t="shared" si="260"/>
        <v>1.6199999999999999E-2</v>
      </c>
      <c r="E384" s="34">
        <f t="shared" si="260"/>
        <v>8.7075000000000014E-2</v>
      </c>
      <c r="F384" s="34">
        <f t="shared" si="260"/>
        <v>1.6199999999999999E-2</v>
      </c>
      <c r="G384" s="34">
        <f t="shared" si="260"/>
        <v>1.6199999999999999E-2</v>
      </c>
      <c r="H384" s="34">
        <f t="shared" si="260"/>
        <v>8.7075000000000014E-2</v>
      </c>
      <c r="I384" s="34">
        <f t="shared" si="260"/>
        <v>1.6199999999999999E-2</v>
      </c>
      <c r="J384" s="34">
        <f t="shared" si="260"/>
        <v>1.6199999999999999E-2</v>
      </c>
      <c r="K384" s="34">
        <f t="shared" si="260"/>
        <v>8.7075000000000014E-2</v>
      </c>
      <c r="L384" s="34">
        <f t="shared" si="260"/>
        <v>1.6199999999999999E-2</v>
      </c>
      <c r="M384" s="34">
        <f t="shared" si="260"/>
        <v>1.6199999999999999E-2</v>
      </c>
      <c r="N384" s="34">
        <f t="shared" si="260"/>
        <v>8.7075000000000014E-2</v>
      </c>
      <c r="O384" s="34">
        <f t="shared" si="260"/>
        <v>1.6199999999999999E-2</v>
      </c>
      <c r="P384" s="34">
        <f t="shared" si="260"/>
        <v>1.6199999999999999E-2</v>
      </c>
      <c r="Q384" s="34">
        <f t="shared" si="260"/>
        <v>8.7075000000000014E-2</v>
      </c>
      <c r="R384" s="34">
        <f t="shared" si="260"/>
        <v>1.6199999999999999E-2</v>
      </c>
      <c r="S384" s="34">
        <f t="shared" si="260"/>
        <v>1.6199999999999999E-2</v>
      </c>
      <c r="T384" s="34">
        <f t="shared" si="260"/>
        <v>8.7075000000000014E-2</v>
      </c>
      <c r="U384" s="34">
        <f t="shared" si="260"/>
        <v>1.6199999999999999E-2</v>
      </c>
      <c r="V384" s="182">
        <f t="shared" ref="V384" si="261">SUM(B384:U384)</f>
        <v>0.84543900000000005</v>
      </c>
      <c r="W384" s="283">
        <f t="shared" ref="W384" si="262">V384/20</f>
        <v>4.2271950000000003E-2</v>
      </c>
    </row>
    <row r="385" spans="1:23">
      <c r="A385" s="269" t="s">
        <v>123</v>
      </c>
      <c r="B385" s="52">
        <v>0.96618357487922713</v>
      </c>
      <c r="C385" s="52">
        <v>0.93351070036640305</v>
      </c>
      <c r="D385" s="52">
        <v>0.90194270566802237</v>
      </c>
      <c r="E385" s="52">
        <v>0.87144222769857238</v>
      </c>
      <c r="F385" s="52">
        <v>0.84197316685852419</v>
      </c>
      <c r="G385" s="52">
        <v>0.81350064430775282</v>
      </c>
      <c r="H385" s="52">
        <v>0.78599096068381913</v>
      </c>
      <c r="I385" s="52">
        <v>0.75941155621625056</v>
      </c>
      <c r="J385" s="52">
        <v>0.73373097218961414</v>
      </c>
      <c r="K385" s="52">
        <v>0.70891881370977217</v>
      </c>
      <c r="L385" s="52">
        <v>0.68494571372924851</v>
      </c>
      <c r="M385" s="52">
        <v>0.66178329828912896</v>
      </c>
      <c r="N385" s="52">
        <v>0.63940415293635666</v>
      </c>
      <c r="O385" s="52">
        <v>0.61778179027667302</v>
      </c>
      <c r="P385" s="52">
        <v>0.59689061862480497</v>
      </c>
      <c r="Q385" s="52">
        <v>0.57670591171478747</v>
      </c>
      <c r="R385" s="52">
        <v>0.55720377943457733</v>
      </c>
      <c r="S385" s="52">
        <v>0.53836113955031628</v>
      </c>
      <c r="T385" s="52">
        <v>0.52015569038677911</v>
      </c>
      <c r="U385" s="52">
        <v>0.50256588443167061</v>
      </c>
      <c r="V385" s="179"/>
      <c r="W385" s="140"/>
    </row>
    <row r="386" spans="1:23" ht="26.25" thickBot="1">
      <c r="A386" s="43" t="s">
        <v>1148</v>
      </c>
      <c r="B386" s="38">
        <f>B385*B384</f>
        <v>0.10858840579710145</v>
      </c>
      <c r="C386" s="38">
        <f t="shared" ref="C386:U386" si="263">C385*C384</f>
        <v>1.5122873345935728E-2</v>
      </c>
      <c r="D386" s="38">
        <f t="shared" si="263"/>
        <v>1.4611471831821961E-2</v>
      </c>
      <c r="E386" s="38">
        <f t="shared" si="263"/>
        <v>7.5880831976853205E-2</v>
      </c>
      <c r="F386" s="38">
        <f t="shared" si="263"/>
        <v>1.3639965303108091E-2</v>
      </c>
      <c r="G386" s="38">
        <f t="shared" si="263"/>
        <v>1.3178710437785596E-2</v>
      </c>
      <c r="H386" s="38">
        <f t="shared" si="263"/>
        <v>6.8440162901543561E-2</v>
      </c>
      <c r="I386" s="38">
        <f t="shared" si="263"/>
        <v>1.2302467210703258E-2</v>
      </c>
      <c r="J386" s="38">
        <f t="shared" si="263"/>
        <v>1.1886441749471748E-2</v>
      </c>
      <c r="K386" s="38">
        <f t="shared" si="263"/>
        <v>6.1729105703778424E-2</v>
      </c>
      <c r="L386" s="38">
        <f t="shared" si="263"/>
        <v>1.1096120562413825E-2</v>
      </c>
      <c r="M386" s="38">
        <f t="shared" si="263"/>
        <v>1.0720889432283888E-2</v>
      </c>
      <c r="N386" s="38">
        <f t="shared" si="263"/>
        <v>5.5676116616933266E-2</v>
      </c>
      <c r="O386" s="38">
        <f t="shared" si="263"/>
        <v>1.0008065002482103E-2</v>
      </c>
      <c r="P386" s="38">
        <f t="shared" si="263"/>
        <v>9.6696280217218392E-3</v>
      </c>
      <c r="Q386" s="38">
        <f t="shared" si="263"/>
        <v>5.0216667262565129E-2</v>
      </c>
      <c r="R386" s="38">
        <f t="shared" si="263"/>
        <v>9.0267012268401524E-3</v>
      </c>
      <c r="S386" s="38">
        <f t="shared" si="263"/>
        <v>8.7214504607151227E-3</v>
      </c>
      <c r="T386" s="38">
        <f t="shared" si="263"/>
        <v>4.5292556740428799E-2</v>
      </c>
      <c r="U386" s="38">
        <f t="shared" si="263"/>
        <v>8.1415673277930641E-3</v>
      </c>
      <c r="V386" s="378">
        <f t="shared" ref="V386" si="264">SUM(B386:U386)</f>
        <v>0.61395019891228009</v>
      </c>
      <c r="W386" s="146"/>
    </row>
    <row r="387" spans="1:23" ht="13.5" thickBot="1">
      <c r="A387" s="4"/>
      <c r="B387" s="100"/>
      <c r="C387" s="100"/>
      <c r="D387" s="100"/>
      <c r="E387" s="100"/>
      <c r="F387" s="100"/>
      <c r="G387" s="100"/>
      <c r="H387" s="100"/>
      <c r="I387" s="100"/>
      <c r="J387" s="100"/>
      <c r="K387" s="100"/>
      <c r="L387" s="100"/>
      <c r="M387" s="100"/>
      <c r="N387" s="100"/>
      <c r="O387" s="100"/>
      <c r="P387" s="100"/>
      <c r="Q387" s="100"/>
      <c r="R387" s="100"/>
      <c r="S387" s="100"/>
      <c r="T387" s="100"/>
      <c r="U387" s="100"/>
      <c r="V387" s="100"/>
      <c r="W387" s="81"/>
    </row>
    <row r="388" spans="1:23" ht="17.25" customHeight="1">
      <c r="A388" s="274" t="s">
        <v>1114</v>
      </c>
      <c r="B388" s="188"/>
      <c r="C388" s="188"/>
      <c r="D388" s="188"/>
      <c r="E388" s="188"/>
      <c r="F388" s="188"/>
      <c r="G388" s="188"/>
      <c r="H388" s="188"/>
      <c r="I388" s="188"/>
      <c r="J388" s="188"/>
      <c r="K388" s="188"/>
      <c r="L388" s="188"/>
      <c r="M388" s="188"/>
      <c r="N388" s="188"/>
      <c r="O388" s="188"/>
      <c r="P388" s="188"/>
      <c r="Q388" s="188"/>
      <c r="R388" s="188"/>
      <c r="S388" s="188"/>
      <c r="T388" s="188"/>
      <c r="U388" s="188"/>
      <c r="V388" s="178"/>
      <c r="W388" s="130"/>
    </row>
    <row r="389" spans="1:23">
      <c r="A389" s="197" t="s">
        <v>17</v>
      </c>
      <c r="B389" s="100"/>
      <c r="C389" s="100"/>
      <c r="D389" s="100"/>
      <c r="E389" s="100"/>
      <c r="F389" s="100"/>
      <c r="G389" s="100"/>
      <c r="H389" s="100"/>
      <c r="I389" s="100"/>
      <c r="J389" s="100"/>
      <c r="K389" s="100"/>
      <c r="L389" s="100"/>
      <c r="M389" s="100"/>
      <c r="N389" s="100"/>
      <c r="O389" s="100"/>
      <c r="P389" s="100"/>
      <c r="Q389" s="100"/>
      <c r="R389" s="100"/>
      <c r="S389" s="100"/>
      <c r="T389" s="100"/>
      <c r="U389" s="100"/>
      <c r="V389" s="179"/>
      <c r="W389" s="140"/>
    </row>
    <row r="390" spans="1:23" s="99" customFormat="1" ht="51">
      <c r="A390" s="200" t="s">
        <v>1365</v>
      </c>
      <c r="B390" s="52">
        <f>B$175*0.75</f>
        <v>1.0125E-2</v>
      </c>
      <c r="C390" s="52">
        <f t="shared" ref="C390:U390" si="265">C$175*0.75</f>
        <v>0</v>
      </c>
      <c r="D390" s="52">
        <f t="shared" si="265"/>
        <v>0</v>
      </c>
      <c r="E390" s="52">
        <f t="shared" si="265"/>
        <v>1.0125E-2</v>
      </c>
      <c r="F390" s="52">
        <f t="shared" si="265"/>
        <v>0</v>
      </c>
      <c r="G390" s="52">
        <f t="shared" si="265"/>
        <v>0</v>
      </c>
      <c r="H390" s="52">
        <f t="shared" si="265"/>
        <v>1.0125E-2</v>
      </c>
      <c r="I390" s="52">
        <f t="shared" si="265"/>
        <v>0</v>
      </c>
      <c r="J390" s="52">
        <f t="shared" si="265"/>
        <v>0</v>
      </c>
      <c r="K390" s="52">
        <f t="shared" si="265"/>
        <v>1.0125E-2</v>
      </c>
      <c r="L390" s="52">
        <f t="shared" si="265"/>
        <v>0</v>
      </c>
      <c r="M390" s="52">
        <f t="shared" si="265"/>
        <v>0</v>
      </c>
      <c r="N390" s="52">
        <f t="shared" si="265"/>
        <v>1.0125E-2</v>
      </c>
      <c r="O390" s="52">
        <f t="shared" si="265"/>
        <v>0</v>
      </c>
      <c r="P390" s="52">
        <f t="shared" si="265"/>
        <v>0</v>
      </c>
      <c r="Q390" s="52">
        <f t="shared" si="265"/>
        <v>1.0125E-2</v>
      </c>
      <c r="R390" s="52">
        <f t="shared" si="265"/>
        <v>0</v>
      </c>
      <c r="S390" s="52">
        <f t="shared" si="265"/>
        <v>0</v>
      </c>
      <c r="T390" s="52">
        <f t="shared" si="265"/>
        <v>1.0125E-2</v>
      </c>
      <c r="U390" s="52">
        <f t="shared" si="265"/>
        <v>0</v>
      </c>
      <c r="V390" s="180">
        <f t="shared" ref="V390" si="266">SUM(B390:U390)</f>
        <v>7.0875000000000007E-2</v>
      </c>
      <c r="W390" s="161">
        <f t="shared" ref="W390" si="267">V390/20</f>
        <v>3.5437500000000005E-3</v>
      </c>
    </row>
    <row r="391" spans="1:23" s="99" customFormat="1" ht="38.25">
      <c r="A391" s="200" t="s">
        <v>1366</v>
      </c>
      <c r="B391" s="52">
        <f>'Scenario 2 Assumptions'!D403*'Scenario 2 Assumptions'!E403</f>
        <v>4.2189999999999998E-2</v>
      </c>
      <c r="C391" s="52">
        <v>0</v>
      </c>
      <c r="D391" s="52">
        <v>0</v>
      </c>
      <c r="E391" s="52">
        <v>0</v>
      </c>
      <c r="F391" s="52">
        <v>0</v>
      </c>
      <c r="G391" s="52">
        <v>0</v>
      </c>
      <c r="H391" s="52">
        <v>0</v>
      </c>
      <c r="I391" s="52">
        <v>0</v>
      </c>
      <c r="J391" s="52">
        <v>0</v>
      </c>
      <c r="K391" s="52">
        <v>0</v>
      </c>
      <c r="L391" s="52">
        <v>0</v>
      </c>
      <c r="M391" s="52">
        <v>0</v>
      </c>
      <c r="N391" s="52">
        <v>0</v>
      </c>
      <c r="O391" s="52">
        <v>0</v>
      </c>
      <c r="P391" s="52">
        <v>0</v>
      </c>
      <c r="Q391" s="52">
        <v>0</v>
      </c>
      <c r="R391" s="52">
        <v>0</v>
      </c>
      <c r="S391" s="52">
        <v>0</v>
      </c>
      <c r="T391" s="52">
        <v>0</v>
      </c>
      <c r="U391" s="52">
        <v>0</v>
      </c>
      <c r="V391" s="180">
        <f t="shared" ref="V391:V392" si="268">SUM(B391:U391)</f>
        <v>4.2189999999999998E-2</v>
      </c>
      <c r="W391" s="161">
        <f t="shared" ref="W391:W392" si="269">V391/20</f>
        <v>2.1094999999999998E-3</v>
      </c>
    </row>
    <row r="392" spans="1:23" ht="25.5">
      <c r="A392" s="377" t="s">
        <v>1350</v>
      </c>
      <c r="B392" s="52">
        <f>B$176</f>
        <v>4.0500000000000001E-2</v>
      </c>
      <c r="C392" s="52">
        <f t="shared" ref="C392:U392" si="270">C$176</f>
        <v>7.6275000000000009E-2</v>
      </c>
      <c r="D392" s="52">
        <f t="shared" si="270"/>
        <v>7.6275000000000009E-2</v>
      </c>
      <c r="E392" s="52">
        <f t="shared" si="270"/>
        <v>4.0500000000000001E-2</v>
      </c>
      <c r="F392" s="52">
        <f t="shared" si="270"/>
        <v>7.6275000000000009E-2</v>
      </c>
      <c r="G392" s="52">
        <f t="shared" si="270"/>
        <v>7.6275000000000009E-2</v>
      </c>
      <c r="H392" s="52">
        <f t="shared" si="270"/>
        <v>4.0500000000000001E-2</v>
      </c>
      <c r="I392" s="52">
        <f t="shared" si="270"/>
        <v>7.6275000000000009E-2</v>
      </c>
      <c r="J392" s="52">
        <f t="shared" si="270"/>
        <v>7.6275000000000009E-2</v>
      </c>
      <c r="K392" s="52">
        <f t="shared" si="270"/>
        <v>4.0500000000000001E-2</v>
      </c>
      <c r="L392" s="52">
        <f t="shared" si="270"/>
        <v>7.6275000000000009E-2</v>
      </c>
      <c r="M392" s="52">
        <f t="shared" si="270"/>
        <v>7.6275000000000009E-2</v>
      </c>
      <c r="N392" s="52">
        <f t="shared" si="270"/>
        <v>4.0500000000000001E-2</v>
      </c>
      <c r="O392" s="52">
        <f t="shared" si="270"/>
        <v>7.6275000000000009E-2</v>
      </c>
      <c r="P392" s="52">
        <f t="shared" si="270"/>
        <v>7.6275000000000009E-2</v>
      </c>
      <c r="Q392" s="52">
        <f t="shared" si="270"/>
        <v>4.0500000000000001E-2</v>
      </c>
      <c r="R392" s="52">
        <f t="shared" si="270"/>
        <v>7.6275000000000009E-2</v>
      </c>
      <c r="S392" s="52">
        <f t="shared" si="270"/>
        <v>7.6275000000000009E-2</v>
      </c>
      <c r="T392" s="52">
        <f t="shared" si="270"/>
        <v>4.0500000000000001E-2</v>
      </c>
      <c r="U392" s="52">
        <f t="shared" si="270"/>
        <v>7.6275000000000009E-2</v>
      </c>
      <c r="V392" s="180">
        <f t="shared" si="268"/>
        <v>1.2750750000000002</v>
      </c>
      <c r="W392" s="161">
        <f t="shared" si="269"/>
        <v>6.3753750000000012E-2</v>
      </c>
    </row>
    <row r="393" spans="1:23">
      <c r="A393" s="131" t="s">
        <v>1339</v>
      </c>
      <c r="B393" s="52">
        <v>0</v>
      </c>
      <c r="C393" s="52">
        <v>0</v>
      </c>
      <c r="D393" s="52">
        <v>0</v>
      </c>
      <c r="E393" s="52">
        <v>0</v>
      </c>
      <c r="F393" s="52">
        <v>0</v>
      </c>
      <c r="G393" s="52">
        <v>0</v>
      </c>
      <c r="H393" s="52">
        <v>0</v>
      </c>
      <c r="I393" s="52">
        <v>0</v>
      </c>
      <c r="J393" s="52">
        <v>0</v>
      </c>
      <c r="K393" s="52">
        <v>0</v>
      </c>
      <c r="L393" s="52">
        <v>0</v>
      </c>
      <c r="M393" s="52">
        <v>0</v>
      </c>
      <c r="N393" s="52">
        <v>0</v>
      </c>
      <c r="O393" s="52">
        <v>0</v>
      </c>
      <c r="P393" s="52">
        <v>0</v>
      </c>
      <c r="Q393" s="52">
        <v>0</v>
      </c>
      <c r="R393" s="52">
        <v>0</v>
      </c>
      <c r="S393" s="52">
        <v>0</v>
      </c>
      <c r="T393" s="52">
        <v>0</v>
      </c>
      <c r="U393" s="52">
        <v>0</v>
      </c>
      <c r="V393" s="180">
        <f t="shared" ref="V393" si="271">SUM(B393:U393)</f>
        <v>0</v>
      </c>
      <c r="W393" s="161">
        <f t="shared" ref="W393" si="272">V393/20</f>
        <v>0</v>
      </c>
    </row>
    <row r="394" spans="1:23">
      <c r="A394" s="276"/>
      <c r="B394" s="52"/>
      <c r="C394" s="52"/>
      <c r="D394" s="52"/>
      <c r="E394" s="52"/>
      <c r="F394" s="52"/>
      <c r="G394" s="52"/>
      <c r="H394" s="52"/>
      <c r="I394" s="52"/>
      <c r="J394" s="52"/>
      <c r="K394" s="52"/>
      <c r="L394" s="52"/>
      <c r="M394" s="52"/>
      <c r="N394" s="52"/>
      <c r="O394" s="52"/>
      <c r="P394" s="52"/>
      <c r="Q394" s="52"/>
      <c r="R394" s="52"/>
      <c r="S394" s="52"/>
      <c r="T394" s="52"/>
      <c r="U394" s="52"/>
      <c r="V394" s="180"/>
      <c r="W394" s="161"/>
    </row>
    <row r="395" spans="1:23">
      <c r="A395" s="197" t="s">
        <v>18</v>
      </c>
      <c r="B395" s="52"/>
      <c r="C395" s="52"/>
      <c r="D395" s="52"/>
      <c r="E395" s="52"/>
      <c r="F395" s="52"/>
      <c r="G395" s="52"/>
      <c r="H395" s="52"/>
      <c r="I395" s="52"/>
      <c r="J395" s="52"/>
      <c r="K395" s="52"/>
      <c r="L395" s="52"/>
      <c r="M395" s="52"/>
      <c r="N395" s="52"/>
      <c r="O395" s="52"/>
      <c r="P395" s="52"/>
      <c r="Q395" s="52"/>
      <c r="R395" s="52"/>
      <c r="S395" s="52"/>
      <c r="T395" s="52"/>
      <c r="U395" s="52"/>
      <c r="V395" s="180"/>
      <c r="W395" s="161"/>
    </row>
    <row r="396" spans="1:23">
      <c r="A396" s="131" t="s">
        <v>1339</v>
      </c>
      <c r="B396" s="52">
        <v>0</v>
      </c>
      <c r="C396" s="52">
        <v>0</v>
      </c>
      <c r="D396" s="52">
        <v>0</v>
      </c>
      <c r="E396" s="52">
        <v>0</v>
      </c>
      <c r="F396" s="52">
        <v>0</v>
      </c>
      <c r="G396" s="52">
        <v>0</v>
      </c>
      <c r="H396" s="52">
        <v>0</v>
      </c>
      <c r="I396" s="52">
        <v>0</v>
      </c>
      <c r="J396" s="52">
        <v>0</v>
      </c>
      <c r="K396" s="52">
        <v>0</v>
      </c>
      <c r="L396" s="52">
        <v>0</v>
      </c>
      <c r="M396" s="52">
        <v>0</v>
      </c>
      <c r="N396" s="52">
        <v>0</v>
      </c>
      <c r="O396" s="52">
        <v>0</v>
      </c>
      <c r="P396" s="52">
        <v>0</v>
      </c>
      <c r="Q396" s="52">
        <v>0</v>
      </c>
      <c r="R396" s="52">
        <v>0</v>
      </c>
      <c r="S396" s="52">
        <v>0</v>
      </c>
      <c r="T396" s="52">
        <v>0</v>
      </c>
      <c r="U396" s="52">
        <v>0</v>
      </c>
      <c r="V396" s="180">
        <f t="shared" ref="V396" si="273">SUM(B396:U396)</f>
        <v>0</v>
      </c>
      <c r="W396" s="161">
        <f>V396/20</f>
        <v>0</v>
      </c>
    </row>
    <row r="397" spans="1:23">
      <c r="A397" s="131"/>
      <c r="B397" s="52"/>
      <c r="C397" s="52"/>
      <c r="D397" s="52"/>
      <c r="E397" s="52"/>
      <c r="F397" s="52"/>
      <c r="G397" s="52"/>
      <c r="H397" s="52"/>
      <c r="I397" s="52"/>
      <c r="J397" s="52"/>
      <c r="K397" s="52"/>
      <c r="L397" s="52"/>
      <c r="M397" s="52"/>
      <c r="N397" s="52"/>
      <c r="O397" s="52"/>
      <c r="P397" s="52"/>
      <c r="Q397" s="52"/>
      <c r="R397" s="52"/>
      <c r="S397" s="52"/>
      <c r="T397" s="52"/>
      <c r="U397" s="52"/>
      <c r="V397" s="180"/>
      <c r="W397" s="161"/>
    </row>
    <row r="398" spans="1:23">
      <c r="A398" s="197" t="s">
        <v>1340</v>
      </c>
      <c r="B398" s="52"/>
      <c r="C398" s="52"/>
      <c r="D398" s="52"/>
      <c r="E398" s="52"/>
      <c r="F398" s="52"/>
      <c r="G398" s="52"/>
      <c r="H398" s="52"/>
      <c r="I398" s="52"/>
      <c r="J398" s="52"/>
      <c r="K398" s="52"/>
      <c r="L398" s="52"/>
      <c r="M398" s="52"/>
      <c r="N398" s="52"/>
      <c r="O398" s="52"/>
      <c r="P398" s="52"/>
      <c r="Q398" s="52"/>
      <c r="R398" s="52"/>
      <c r="S398" s="52"/>
      <c r="T398" s="52"/>
      <c r="U398" s="52"/>
      <c r="V398" s="180"/>
      <c r="W398" s="161"/>
    </row>
    <row r="399" spans="1:23">
      <c r="A399" s="100" t="s">
        <v>679</v>
      </c>
      <c r="B399" s="52">
        <f>SUM(B390:B393)</f>
        <v>9.2815000000000009E-2</v>
      </c>
      <c r="C399" s="52">
        <f t="shared" ref="C399:U399" si="274">SUM(C390:C393)</f>
        <v>7.6275000000000009E-2</v>
      </c>
      <c r="D399" s="52">
        <f t="shared" si="274"/>
        <v>7.6275000000000009E-2</v>
      </c>
      <c r="E399" s="52">
        <f t="shared" si="274"/>
        <v>5.0625000000000003E-2</v>
      </c>
      <c r="F399" s="52">
        <f t="shared" si="274"/>
        <v>7.6275000000000009E-2</v>
      </c>
      <c r="G399" s="52">
        <f t="shared" si="274"/>
        <v>7.6275000000000009E-2</v>
      </c>
      <c r="H399" s="52">
        <f t="shared" si="274"/>
        <v>5.0625000000000003E-2</v>
      </c>
      <c r="I399" s="52">
        <f t="shared" si="274"/>
        <v>7.6275000000000009E-2</v>
      </c>
      <c r="J399" s="52">
        <f t="shared" si="274"/>
        <v>7.6275000000000009E-2</v>
      </c>
      <c r="K399" s="52">
        <f t="shared" si="274"/>
        <v>5.0625000000000003E-2</v>
      </c>
      <c r="L399" s="52">
        <f t="shared" si="274"/>
        <v>7.6275000000000009E-2</v>
      </c>
      <c r="M399" s="52">
        <f t="shared" si="274"/>
        <v>7.6275000000000009E-2</v>
      </c>
      <c r="N399" s="52">
        <f t="shared" si="274"/>
        <v>5.0625000000000003E-2</v>
      </c>
      <c r="O399" s="52">
        <f t="shared" si="274"/>
        <v>7.6275000000000009E-2</v>
      </c>
      <c r="P399" s="52">
        <f t="shared" si="274"/>
        <v>7.6275000000000009E-2</v>
      </c>
      <c r="Q399" s="52">
        <f t="shared" si="274"/>
        <v>5.0625000000000003E-2</v>
      </c>
      <c r="R399" s="52">
        <f t="shared" si="274"/>
        <v>7.6275000000000009E-2</v>
      </c>
      <c r="S399" s="52">
        <f t="shared" si="274"/>
        <v>7.6275000000000009E-2</v>
      </c>
      <c r="T399" s="52">
        <f t="shared" si="274"/>
        <v>5.0625000000000003E-2</v>
      </c>
      <c r="U399" s="52">
        <f t="shared" si="274"/>
        <v>7.6275000000000009E-2</v>
      </c>
      <c r="V399" s="180">
        <f t="shared" ref="V399:V400" si="275">SUM(B399:U399)</f>
        <v>1.3881400000000002</v>
      </c>
      <c r="W399" s="161">
        <f t="shared" ref="W399:W400" si="276">V399/20</f>
        <v>6.940700000000001E-2</v>
      </c>
    </row>
    <row r="400" spans="1:23">
      <c r="A400" s="100" t="s">
        <v>680</v>
      </c>
      <c r="B400" s="52">
        <f>B396</f>
        <v>0</v>
      </c>
      <c r="C400" s="52">
        <f t="shared" ref="C400:U400" si="277">C396</f>
        <v>0</v>
      </c>
      <c r="D400" s="52">
        <f t="shared" si="277"/>
        <v>0</v>
      </c>
      <c r="E400" s="52">
        <f t="shared" si="277"/>
        <v>0</v>
      </c>
      <c r="F400" s="52">
        <f t="shared" si="277"/>
        <v>0</v>
      </c>
      <c r="G400" s="52">
        <f t="shared" si="277"/>
        <v>0</v>
      </c>
      <c r="H400" s="52">
        <f t="shared" si="277"/>
        <v>0</v>
      </c>
      <c r="I400" s="52">
        <f t="shared" si="277"/>
        <v>0</v>
      </c>
      <c r="J400" s="52">
        <f t="shared" si="277"/>
        <v>0</v>
      </c>
      <c r="K400" s="52">
        <f t="shared" si="277"/>
        <v>0</v>
      </c>
      <c r="L400" s="52">
        <f t="shared" si="277"/>
        <v>0</v>
      </c>
      <c r="M400" s="52">
        <f t="shared" si="277"/>
        <v>0</v>
      </c>
      <c r="N400" s="52">
        <f t="shared" si="277"/>
        <v>0</v>
      </c>
      <c r="O400" s="52">
        <f t="shared" si="277"/>
        <v>0</v>
      </c>
      <c r="P400" s="52">
        <f t="shared" si="277"/>
        <v>0</v>
      </c>
      <c r="Q400" s="52">
        <f t="shared" si="277"/>
        <v>0</v>
      </c>
      <c r="R400" s="52">
        <f t="shared" si="277"/>
        <v>0</v>
      </c>
      <c r="S400" s="52">
        <f t="shared" si="277"/>
        <v>0</v>
      </c>
      <c r="T400" s="52">
        <f t="shared" si="277"/>
        <v>0</v>
      </c>
      <c r="U400" s="52">
        <f t="shared" si="277"/>
        <v>0</v>
      </c>
      <c r="V400" s="180">
        <f t="shared" si="275"/>
        <v>0</v>
      </c>
      <c r="W400" s="161">
        <f t="shared" si="276"/>
        <v>0</v>
      </c>
    </row>
    <row r="401" spans="1:23">
      <c r="A401" s="263" t="s">
        <v>1147</v>
      </c>
      <c r="B401" s="34">
        <f>SUM(B399:B400)</f>
        <v>9.2815000000000009E-2</v>
      </c>
      <c r="C401" s="34">
        <f t="shared" ref="C401:U401" si="278">SUM(C399:C400)</f>
        <v>7.6275000000000009E-2</v>
      </c>
      <c r="D401" s="34">
        <f t="shared" si="278"/>
        <v>7.6275000000000009E-2</v>
      </c>
      <c r="E401" s="34">
        <f t="shared" si="278"/>
        <v>5.0625000000000003E-2</v>
      </c>
      <c r="F401" s="34">
        <f t="shared" si="278"/>
        <v>7.6275000000000009E-2</v>
      </c>
      <c r="G401" s="34">
        <f t="shared" si="278"/>
        <v>7.6275000000000009E-2</v>
      </c>
      <c r="H401" s="34">
        <f t="shared" si="278"/>
        <v>5.0625000000000003E-2</v>
      </c>
      <c r="I401" s="34">
        <f t="shared" si="278"/>
        <v>7.6275000000000009E-2</v>
      </c>
      <c r="J401" s="34">
        <f t="shared" si="278"/>
        <v>7.6275000000000009E-2</v>
      </c>
      <c r="K401" s="34">
        <f t="shared" si="278"/>
        <v>5.0625000000000003E-2</v>
      </c>
      <c r="L401" s="34">
        <f t="shared" si="278"/>
        <v>7.6275000000000009E-2</v>
      </c>
      <c r="M401" s="34">
        <f t="shared" si="278"/>
        <v>7.6275000000000009E-2</v>
      </c>
      <c r="N401" s="34">
        <f t="shared" si="278"/>
        <v>5.0625000000000003E-2</v>
      </c>
      <c r="O401" s="34">
        <f t="shared" si="278"/>
        <v>7.6275000000000009E-2</v>
      </c>
      <c r="P401" s="34">
        <f t="shared" si="278"/>
        <v>7.6275000000000009E-2</v>
      </c>
      <c r="Q401" s="34">
        <f t="shared" si="278"/>
        <v>5.0625000000000003E-2</v>
      </c>
      <c r="R401" s="34">
        <f t="shared" si="278"/>
        <v>7.6275000000000009E-2</v>
      </c>
      <c r="S401" s="34">
        <f t="shared" si="278"/>
        <v>7.6275000000000009E-2</v>
      </c>
      <c r="T401" s="34">
        <f t="shared" si="278"/>
        <v>5.0625000000000003E-2</v>
      </c>
      <c r="U401" s="34">
        <f t="shared" si="278"/>
        <v>7.6275000000000009E-2</v>
      </c>
      <c r="V401" s="182">
        <f t="shared" ref="V401" si="279">SUM(B401:U401)</f>
        <v>1.3881400000000002</v>
      </c>
      <c r="W401" s="283">
        <f t="shared" ref="W401" si="280">V401/20</f>
        <v>6.940700000000001E-2</v>
      </c>
    </row>
    <row r="402" spans="1:23">
      <c r="A402" s="269" t="s">
        <v>123</v>
      </c>
      <c r="B402" s="52">
        <v>0.96618357487922713</v>
      </c>
      <c r="C402" s="52">
        <v>0.93351070036640305</v>
      </c>
      <c r="D402" s="52">
        <v>0.90194270566802237</v>
      </c>
      <c r="E402" s="52">
        <v>0.87144222769857238</v>
      </c>
      <c r="F402" s="52">
        <v>0.84197316685852419</v>
      </c>
      <c r="G402" s="52">
        <v>0.81350064430775282</v>
      </c>
      <c r="H402" s="52">
        <v>0.78599096068381913</v>
      </c>
      <c r="I402" s="52">
        <v>0.75941155621625056</v>
      </c>
      <c r="J402" s="52">
        <v>0.73373097218961414</v>
      </c>
      <c r="K402" s="52">
        <v>0.70891881370977217</v>
      </c>
      <c r="L402" s="52">
        <v>0.68494571372924851</v>
      </c>
      <c r="M402" s="52">
        <v>0.66178329828912896</v>
      </c>
      <c r="N402" s="52">
        <v>0.63940415293635666</v>
      </c>
      <c r="O402" s="52">
        <v>0.61778179027667302</v>
      </c>
      <c r="P402" s="52">
        <v>0.59689061862480497</v>
      </c>
      <c r="Q402" s="52">
        <v>0.57670591171478747</v>
      </c>
      <c r="R402" s="52">
        <v>0.55720377943457733</v>
      </c>
      <c r="S402" s="52">
        <v>0.53836113955031628</v>
      </c>
      <c r="T402" s="52">
        <v>0.52015569038677911</v>
      </c>
      <c r="U402" s="52">
        <v>0.50256588443167061</v>
      </c>
      <c r="V402" s="179"/>
      <c r="W402" s="140"/>
    </row>
    <row r="403" spans="1:23" ht="26.25" thickBot="1">
      <c r="A403" s="43" t="s">
        <v>1148</v>
      </c>
      <c r="B403" s="38">
        <f>B402*B401</f>
        <v>8.967632850241547E-2</v>
      </c>
      <c r="C403" s="38">
        <f t="shared" ref="C403:U403" si="281">C402*C401</f>
        <v>7.1203528670447408E-2</v>
      </c>
      <c r="D403" s="38">
        <f t="shared" si="281"/>
        <v>6.8795679874828417E-2</v>
      </c>
      <c r="E403" s="38">
        <f t="shared" si="281"/>
        <v>4.4116762777240227E-2</v>
      </c>
      <c r="F403" s="38">
        <f t="shared" si="281"/>
        <v>6.4221503302133942E-2</v>
      </c>
      <c r="G403" s="38">
        <f t="shared" si="281"/>
        <v>6.2049761644573855E-2</v>
      </c>
      <c r="H403" s="38">
        <f t="shared" si="281"/>
        <v>3.9790792384618343E-2</v>
      </c>
      <c r="I403" s="38">
        <f t="shared" si="281"/>
        <v>5.7924116450394518E-2</v>
      </c>
      <c r="J403" s="38">
        <f t="shared" si="281"/>
        <v>5.5965329903762823E-2</v>
      </c>
      <c r="K403" s="38">
        <f t="shared" si="281"/>
        <v>3.5889014944057218E-2</v>
      </c>
      <c r="L403" s="38">
        <f t="shared" si="281"/>
        <v>5.2244234314698434E-2</v>
      </c>
      <c r="M403" s="38">
        <f t="shared" si="281"/>
        <v>5.0477521077003318E-2</v>
      </c>
      <c r="N403" s="38">
        <f t="shared" si="281"/>
        <v>3.2369835242403056E-2</v>
      </c>
      <c r="O403" s="38">
        <f t="shared" si="281"/>
        <v>4.712130605335324E-2</v>
      </c>
      <c r="P403" s="38">
        <f t="shared" si="281"/>
        <v>4.5527831935607006E-2</v>
      </c>
      <c r="Q403" s="38">
        <f t="shared" si="281"/>
        <v>2.9195736780561119E-2</v>
      </c>
      <c r="R403" s="38">
        <f t="shared" si="281"/>
        <v>4.250071827637239E-2</v>
      </c>
      <c r="S403" s="38">
        <f t="shared" si="281"/>
        <v>4.1063495919200381E-2</v>
      </c>
      <c r="T403" s="38">
        <f t="shared" si="281"/>
        <v>2.6332881825830694E-2</v>
      </c>
      <c r="U403" s="38">
        <f t="shared" si="281"/>
        <v>3.8333212835025679E-2</v>
      </c>
      <c r="V403" s="378">
        <f t="shared" ref="V403" si="282">SUM(B403:U403)</f>
        <v>0.99479959271452767</v>
      </c>
      <c r="W403" s="146"/>
    </row>
    <row r="404" spans="1:23" s="99" customFormat="1" ht="15.75" customHeight="1" thickBot="1">
      <c r="A404" s="4"/>
      <c r="B404" s="100"/>
      <c r="C404" s="100"/>
      <c r="D404" s="100"/>
      <c r="E404" s="100"/>
      <c r="F404" s="100"/>
      <c r="G404" s="100"/>
      <c r="H404" s="100"/>
      <c r="I404" s="100"/>
      <c r="J404" s="100"/>
      <c r="K404" s="100"/>
      <c r="L404" s="100"/>
      <c r="M404" s="100"/>
      <c r="N404" s="100"/>
      <c r="O404" s="100"/>
      <c r="P404" s="100"/>
      <c r="Q404" s="100"/>
      <c r="R404" s="100"/>
      <c r="S404" s="100"/>
      <c r="T404" s="100"/>
      <c r="U404" s="100"/>
      <c r="V404" s="100"/>
      <c r="W404" s="81"/>
    </row>
    <row r="405" spans="1:23" ht="17.25" customHeight="1">
      <c r="A405" s="274" t="s">
        <v>1057</v>
      </c>
      <c r="B405" s="188"/>
      <c r="C405" s="188"/>
      <c r="D405" s="188"/>
      <c r="E405" s="188"/>
      <c r="F405" s="188"/>
      <c r="G405" s="188"/>
      <c r="H405" s="188"/>
      <c r="I405" s="188"/>
      <c r="J405" s="188"/>
      <c r="K405" s="188"/>
      <c r="L405" s="188"/>
      <c r="M405" s="188"/>
      <c r="N405" s="188"/>
      <c r="O405" s="188"/>
      <c r="P405" s="188"/>
      <c r="Q405" s="188"/>
      <c r="R405" s="188"/>
      <c r="S405" s="188"/>
      <c r="T405" s="188"/>
      <c r="U405" s="188"/>
      <c r="V405" s="178"/>
      <c r="W405" s="130"/>
    </row>
    <row r="406" spans="1:23" s="99" customFormat="1">
      <c r="A406" s="197" t="s">
        <v>17</v>
      </c>
      <c r="B406" s="100"/>
      <c r="C406" s="100"/>
      <c r="D406" s="100"/>
      <c r="E406" s="100"/>
      <c r="F406" s="100"/>
      <c r="G406" s="100"/>
      <c r="H406" s="100"/>
      <c r="I406" s="100"/>
      <c r="J406" s="100"/>
      <c r="K406" s="100"/>
      <c r="L406" s="100"/>
      <c r="M406" s="100"/>
      <c r="N406" s="100"/>
      <c r="O406" s="100"/>
      <c r="P406" s="100"/>
      <c r="Q406" s="100"/>
      <c r="R406" s="100"/>
      <c r="S406" s="100"/>
      <c r="T406" s="100"/>
      <c r="U406" s="100"/>
      <c r="V406" s="179"/>
      <c r="W406" s="140"/>
    </row>
    <row r="407" spans="1:23" ht="51">
      <c r="A407" s="200" t="s">
        <v>1347</v>
      </c>
      <c r="B407" s="52">
        <f>(B$220+B$175+B$133+B$65)*0.4</f>
        <v>9.7200000000000009E-2</v>
      </c>
      <c r="C407" s="52">
        <f t="shared" ref="C407:U407" si="283">(C$220+C$175+C$133+C$65)*0.4</f>
        <v>0</v>
      </c>
      <c r="D407" s="52">
        <f t="shared" si="283"/>
        <v>0</v>
      </c>
      <c r="E407" s="52">
        <f t="shared" si="283"/>
        <v>9.9900000000000003E-2</v>
      </c>
      <c r="F407" s="52">
        <f t="shared" si="283"/>
        <v>0</v>
      </c>
      <c r="G407" s="52">
        <f t="shared" si="283"/>
        <v>0</v>
      </c>
      <c r="H407" s="52">
        <f t="shared" si="283"/>
        <v>9.4500000000000001E-2</v>
      </c>
      <c r="I407" s="52">
        <f t="shared" si="283"/>
        <v>0</v>
      </c>
      <c r="J407" s="52">
        <f t="shared" si="283"/>
        <v>5.4000000000000003E-3</v>
      </c>
      <c r="K407" s="52">
        <f t="shared" si="283"/>
        <v>9.4500000000000001E-2</v>
      </c>
      <c r="L407" s="52">
        <f t="shared" si="283"/>
        <v>0</v>
      </c>
      <c r="M407" s="52">
        <f t="shared" si="283"/>
        <v>0</v>
      </c>
      <c r="N407" s="52">
        <f t="shared" si="283"/>
        <v>9.4500000000000001E-2</v>
      </c>
      <c r="O407" s="52">
        <f t="shared" si="283"/>
        <v>5.4000000000000003E-3</v>
      </c>
      <c r="P407" s="52">
        <f t="shared" si="283"/>
        <v>0</v>
      </c>
      <c r="Q407" s="52">
        <f t="shared" si="283"/>
        <v>9.4500000000000001E-2</v>
      </c>
      <c r="R407" s="52">
        <f t="shared" si="283"/>
        <v>0</v>
      </c>
      <c r="S407" s="52">
        <f t="shared" si="283"/>
        <v>0</v>
      </c>
      <c r="T407" s="52">
        <f t="shared" si="283"/>
        <v>9.4500000000000001E-2</v>
      </c>
      <c r="U407" s="52">
        <f t="shared" si="283"/>
        <v>0</v>
      </c>
      <c r="V407" s="180">
        <f>SUM(B407:U407)</f>
        <v>0.6804</v>
      </c>
      <c r="W407" s="161">
        <f t="shared" ref="W407" si="284">V407/20</f>
        <v>3.4020000000000002E-2</v>
      </c>
    </row>
    <row r="408" spans="1:23" ht="38.25">
      <c r="A408" s="200" t="s">
        <v>1348</v>
      </c>
      <c r="B408" s="52">
        <f>'Scenario 2 Assumptions'!D385*'Scenario 2 Assumptions'!E385</f>
        <v>0.30376799999999998</v>
      </c>
      <c r="C408" s="52">
        <v>0</v>
      </c>
      <c r="D408" s="52">
        <v>0</v>
      </c>
      <c r="E408" s="52">
        <v>0</v>
      </c>
      <c r="F408" s="52">
        <v>0</v>
      </c>
      <c r="G408" s="52">
        <v>0</v>
      </c>
      <c r="H408" s="52">
        <v>0</v>
      </c>
      <c r="I408" s="52">
        <v>0</v>
      </c>
      <c r="J408" s="52">
        <v>0</v>
      </c>
      <c r="K408" s="52">
        <v>0</v>
      </c>
      <c r="L408" s="52">
        <v>0</v>
      </c>
      <c r="M408" s="52">
        <v>0</v>
      </c>
      <c r="N408" s="52">
        <v>0</v>
      </c>
      <c r="O408" s="52">
        <v>0</v>
      </c>
      <c r="P408" s="52">
        <v>0</v>
      </c>
      <c r="Q408" s="52">
        <v>0</v>
      </c>
      <c r="R408" s="52">
        <v>0</v>
      </c>
      <c r="S408" s="52">
        <v>0</v>
      </c>
      <c r="T408" s="52">
        <v>0</v>
      </c>
      <c r="U408" s="52">
        <v>0</v>
      </c>
      <c r="V408" s="180">
        <f t="shared" ref="V408:V409" si="285">SUM(B408:U408)</f>
        <v>0.30376799999999998</v>
      </c>
      <c r="W408" s="161">
        <f t="shared" ref="W408:W409" si="286">V408/20</f>
        <v>1.5188399999999999E-2</v>
      </c>
    </row>
    <row r="409" spans="1:23" s="99" customFormat="1" ht="25.5">
      <c r="A409" s="377" t="s">
        <v>1350</v>
      </c>
      <c r="B409" s="52">
        <f>B$299+B$281+B$263+B$243</f>
        <v>0.66150000000000031</v>
      </c>
      <c r="C409" s="52">
        <f t="shared" ref="C409:U409" si="287">C$299+C$281+C$263+C$243</f>
        <v>0.65677499999999989</v>
      </c>
      <c r="D409" s="52">
        <f t="shared" si="287"/>
        <v>0.65002499999999985</v>
      </c>
      <c r="E409" s="52">
        <f t="shared" si="287"/>
        <v>0.66149999999999998</v>
      </c>
      <c r="F409" s="52">
        <f t="shared" si="287"/>
        <v>0.65677499999999989</v>
      </c>
      <c r="G409" s="52">
        <f t="shared" si="287"/>
        <v>0.65002499999999985</v>
      </c>
      <c r="H409" s="52">
        <f t="shared" si="287"/>
        <v>0.66149999999999998</v>
      </c>
      <c r="I409" s="52">
        <f t="shared" si="287"/>
        <v>0.65002499999999985</v>
      </c>
      <c r="J409" s="52">
        <f t="shared" si="287"/>
        <v>0.65002499999999996</v>
      </c>
      <c r="K409" s="52">
        <f t="shared" si="287"/>
        <v>0.66149999999999998</v>
      </c>
      <c r="L409" s="52">
        <f t="shared" si="287"/>
        <v>0.65002499999999985</v>
      </c>
      <c r="M409" s="52">
        <f t="shared" si="287"/>
        <v>0.65002499999999985</v>
      </c>
      <c r="N409" s="52">
        <f t="shared" si="287"/>
        <v>0.66149999999999998</v>
      </c>
      <c r="O409" s="52">
        <f t="shared" si="287"/>
        <v>0.65002499999999996</v>
      </c>
      <c r="P409" s="52">
        <f t="shared" si="287"/>
        <v>0.65002499999999985</v>
      </c>
      <c r="Q409" s="52">
        <f t="shared" si="287"/>
        <v>0.65474999999999994</v>
      </c>
      <c r="R409" s="52">
        <f t="shared" si="287"/>
        <v>0.65002499999999985</v>
      </c>
      <c r="S409" s="52">
        <f t="shared" si="287"/>
        <v>0.65002499999999985</v>
      </c>
      <c r="T409" s="52">
        <f t="shared" si="287"/>
        <v>0.6682499999999999</v>
      </c>
      <c r="U409" s="52">
        <f t="shared" si="287"/>
        <v>0.65002499999999985</v>
      </c>
      <c r="V409" s="180">
        <f t="shared" si="285"/>
        <v>13.094324999999998</v>
      </c>
      <c r="W409" s="161">
        <f t="shared" si="286"/>
        <v>0.65471624999999989</v>
      </c>
    </row>
    <row r="410" spans="1:23">
      <c r="A410" s="131" t="s">
        <v>1339</v>
      </c>
      <c r="B410" s="278">
        <f>B$22</f>
        <v>24</v>
      </c>
      <c r="C410" s="278">
        <f t="shared" ref="C410:U410" si="288">C$22</f>
        <v>0</v>
      </c>
      <c r="D410" s="278">
        <f t="shared" si="288"/>
        <v>0</v>
      </c>
      <c r="E410" s="278">
        <f t="shared" si="288"/>
        <v>0</v>
      </c>
      <c r="F410" s="278">
        <f t="shared" si="288"/>
        <v>0</v>
      </c>
      <c r="G410" s="278">
        <f t="shared" si="288"/>
        <v>0</v>
      </c>
      <c r="H410" s="278">
        <f t="shared" si="288"/>
        <v>0</v>
      </c>
      <c r="I410" s="278">
        <f t="shared" si="288"/>
        <v>0</v>
      </c>
      <c r="J410" s="278">
        <f t="shared" si="288"/>
        <v>0</v>
      </c>
      <c r="K410" s="278">
        <f t="shared" si="288"/>
        <v>0</v>
      </c>
      <c r="L410" s="278">
        <f t="shared" si="288"/>
        <v>0</v>
      </c>
      <c r="M410" s="278">
        <f t="shared" si="288"/>
        <v>0</v>
      </c>
      <c r="N410" s="278">
        <f t="shared" si="288"/>
        <v>0</v>
      </c>
      <c r="O410" s="278">
        <f t="shared" si="288"/>
        <v>0</v>
      </c>
      <c r="P410" s="278">
        <f t="shared" si="288"/>
        <v>0</v>
      </c>
      <c r="Q410" s="278">
        <f t="shared" si="288"/>
        <v>0</v>
      </c>
      <c r="R410" s="278">
        <f t="shared" si="288"/>
        <v>0</v>
      </c>
      <c r="S410" s="278">
        <f t="shared" si="288"/>
        <v>0</v>
      </c>
      <c r="T410" s="278">
        <f t="shared" si="288"/>
        <v>0</v>
      </c>
      <c r="U410" s="278">
        <f t="shared" si="288"/>
        <v>0</v>
      </c>
      <c r="V410" s="180">
        <f>SUM(B410:U410)</f>
        <v>24</v>
      </c>
      <c r="W410" s="161">
        <f t="shared" ref="W410" si="289">V410/20</f>
        <v>1.2</v>
      </c>
    </row>
    <row r="411" spans="1:23">
      <c r="A411" s="276"/>
      <c r="B411" s="278"/>
      <c r="C411" s="278"/>
      <c r="D411" s="278"/>
      <c r="E411" s="278"/>
      <c r="F411" s="278"/>
      <c r="G411" s="278"/>
      <c r="H411" s="278"/>
      <c r="I411" s="278"/>
      <c r="J411" s="278"/>
      <c r="K411" s="278"/>
      <c r="L411" s="278"/>
      <c r="M411" s="278"/>
      <c r="N411" s="278"/>
      <c r="O411" s="278"/>
      <c r="P411" s="278"/>
      <c r="Q411" s="278"/>
      <c r="R411" s="278"/>
      <c r="S411" s="278"/>
      <c r="T411" s="278"/>
      <c r="U411" s="278"/>
      <c r="V411" s="180"/>
      <c r="W411" s="161"/>
    </row>
    <row r="412" spans="1:23">
      <c r="A412" s="197" t="s">
        <v>18</v>
      </c>
      <c r="B412" s="278"/>
      <c r="C412" s="278"/>
      <c r="D412" s="278"/>
      <c r="E412" s="278"/>
      <c r="F412" s="278"/>
      <c r="G412" s="278"/>
      <c r="H412" s="278"/>
      <c r="I412" s="278"/>
      <c r="J412" s="278"/>
      <c r="K412" s="278"/>
      <c r="L412" s="278"/>
      <c r="M412" s="278"/>
      <c r="N412" s="278"/>
      <c r="O412" s="278"/>
      <c r="P412" s="278"/>
      <c r="Q412" s="278"/>
      <c r="R412" s="278"/>
      <c r="S412" s="278"/>
      <c r="T412" s="278"/>
      <c r="U412" s="278"/>
      <c r="V412" s="180"/>
      <c r="W412" s="161"/>
    </row>
    <row r="413" spans="1:23">
      <c r="A413" s="131" t="s">
        <v>1339</v>
      </c>
      <c r="B413" s="52">
        <f t="shared" ref="B413:U413" si="290">B$50+B$53+B$267+B$285+B$306</f>
        <v>7.5465840517241381E-2</v>
      </c>
      <c r="C413" s="52">
        <f t="shared" si="290"/>
        <v>7.5465840517241381E-2</v>
      </c>
      <c r="D413" s="52">
        <f t="shared" si="290"/>
        <v>7.5465840517241381E-2</v>
      </c>
      <c r="E413" s="52">
        <f t="shared" si="290"/>
        <v>7.5465840517241381E-2</v>
      </c>
      <c r="F413" s="52">
        <f t="shared" si="290"/>
        <v>7.5465840517241381E-2</v>
      </c>
      <c r="G413" s="52">
        <f t="shared" si="290"/>
        <v>7.5465840517241381E-2</v>
      </c>
      <c r="H413" s="52">
        <f t="shared" si="290"/>
        <v>7.5465840517241381E-2</v>
      </c>
      <c r="I413" s="52">
        <f t="shared" si="290"/>
        <v>7.5465840517241381E-2</v>
      </c>
      <c r="J413" s="52">
        <f t="shared" si="290"/>
        <v>7.5465840517241381E-2</v>
      </c>
      <c r="K413" s="52">
        <f t="shared" si="290"/>
        <v>7.5465840517241381E-2</v>
      </c>
      <c r="L413" s="52">
        <f t="shared" si="290"/>
        <v>7.5465840517241381E-2</v>
      </c>
      <c r="M413" s="52">
        <f t="shared" si="290"/>
        <v>7.5465840517241381E-2</v>
      </c>
      <c r="N413" s="52">
        <f t="shared" si="290"/>
        <v>7.5465840517241381E-2</v>
      </c>
      <c r="O413" s="52">
        <f t="shared" si="290"/>
        <v>7.5465840517241381E-2</v>
      </c>
      <c r="P413" s="52">
        <f t="shared" si="290"/>
        <v>7.5465840517241381E-2</v>
      </c>
      <c r="Q413" s="52">
        <f t="shared" si="290"/>
        <v>7.5465840517241381E-2</v>
      </c>
      <c r="R413" s="52">
        <f t="shared" si="290"/>
        <v>7.5465840517241381E-2</v>
      </c>
      <c r="S413" s="52">
        <f t="shared" si="290"/>
        <v>7.5465840517241381E-2</v>
      </c>
      <c r="T413" s="52">
        <f t="shared" si="290"/>
        <v>7.5465840517241381E-2</v>
      </c>
      <c r="U413" s="52">
        <f t="shared" si="290"/>
        <v>7.5465840517241381E-2</v>
      </c>
      <c r="V413" s="180">
        <f>SUM(B413:U413)</f>
        <v>1.5093168103448282</v>
      </c>
      <c r="W413" s="161">
        <f t="shared" ref="W413" si="291">V413/20</f>
        <v>7.5465840517241409E-2</v>
      </c>
    </row>
    <row r="414" spans="1:23">
      <c r="V414" s="180"/>
      <c r="W414" s="161"/>
    </row>
    <row r="415" spans="1:23">
      <c r="A415" s="197" t="s">
        <v>1340</v>
      </c>
      <c r="V415" s="180"/>
      <c r="W415" s="161"/>
    </row>
    <row r="416" spans="1:23">
      <c r="A416" s="100" t="s">
        <v>679</v>
      </c>
      <c r="B416" s="116">
        <f>SUM(B407:B410)</f>
        <v>25.062467999999999</v>
      </c>
      <c r="C416" s="116">
        <f t="shared" ref="C416:U416" si="292">SUM(C407:C410)</f>
        <v>0.65677499999999989</v>
      </c>
      <c r="D416" s="116">
        <f t="shared" si="292"/>
        <v>0.65002499999999985</v>
      </c>
      <c r="E416" s="116">
        <f t="shared" si="292"/>
        <v>0.76139999999999997</v>
      </c>
      <c r="F416" s="116">
        <f t="shared" si="292"/>
        <v>0.65677499999999989</v>
      </c>
      <c r="G416" s="116">
        <f t="shared" si="292"/>
        <v>0.65002499999999985</v>
      </c>
      <c r="H416" s="116">
        <f t="shared" si="292"/>
        <v>0.75600000000000001</v>
      </c>
      <c r="I416" s="116">
        <f t="shared" si="292"/>
        <v>0.65002499999999985</v>
      </c>
      <c r="J416" s="116">
        <f t="shared" si="292"/>
        <v>0.65542499999999992</v>
      </c>
      <c r="K416" s="116">
        <f t="shared" si="292"/>
        <v>0.75600000000000001</v>
      </c>
      <c r="L416" s="116">
        <f t="shared" si="292"/>
        <v>0.65002499999999985</v>
      </c>
      <c r="M416" s="116">
        <f t="shared" si="292"/>
        <v>0.65002499999999985</v>
      </c>
      <c r="N416" s="116">
        <f t="shared" si="292"/>
        <v>0.75600000000000001</v>
      </c>
      <c r="O416" s="116">
        <f t="shared" si="292"/>
        <v>0.65542499999999992</v>
      </c>
      <c r="P416" s="116">
        <f t="shared" si="292"/>
        <v>0.65002499999999985</v>
      </c>
      <c r="Q416" s="116">
        <f t="shared" si="292"/>
        <v>0.74924999999999997</v>
      </c>
      <c r="R416" s="116">
        <f t="shared" si="292"/>
        <v>0.65002499999999985</v>
      </c>
      <c r="S416" s="116">
        <f t="shared" si="292"/>
        <v>0.65002499999999985</v>
      </c>
      <c r="T416" s="116">
        <f t="shared" si="292"/>
        <v>0.76274999999999993</v>
      </c>
      <c r="U416" s="116">
        <f t="shared" si="292"/>
        <v>0.65002499999999985</v>
      </c>
      <c r="V416" s="180">
        <f t="shared" ref="V416:V417" si="293">SUM(B416:U416)</f>
        <v>38.078492999999995</v>
      </c>
      <c r="W416" s="161">
        <f t="shared" ref="W416:W417" si="294">V416/20</f>
        <v>1.9039246499999998</v>
      </c>
    </row>
    <row r="417" spans="1:23">
      <c r="A417" s="100" t="s">
        <v>680</v>
      </c>
      <c r="B417" s="116">
        <f>B413</f>
        <v>7.5465840517241381E-2</v>
      </c>
      <c r="C417" s="116">
        <f t="shared" ref="C417:U417" si="295">C413</f>
        <v>7.5465840517241381E-2</v>
      </c>
      <c r="D417" s="116">
        <f t="shared" si="295"/>
        <v>7.5465840517241381E-2</v>
      </c>
      <c r="E417" s="116">
        <f t="shared" si="295"/>
        <v>7.5465840517241381E-2</v>
      </c>
      <c r="F417" s="116">
        <f t="shared" si="295"/>
        <v>7.5465840517241381E-2</v>
      </c>
      <c r="G417" s="116">
        <f t="shared" si="295"/>
        <v>7.5465840517241381E-2</v>
      </c>
      <c r="H417" s="116">
        <f t="shared" si="295"/>
        <v>7.5465840517241381E-2</v>
      </c>
      <c r="I417" s="116">
        <f t="shared" si="295"/>
        <v>7.5465840517241381E-2</v>
      </c>
      <c r="J417" s="116">
        <f t="shared" si="295"/>
        <v>7.5465840517241381E-2</v>
      </c>
      <c r="K417" s="116">
        <f t="shared" si="295"/>
        <v>7.5465840517241381E-2</v>
      </c>
      <c r="L417" s="116">
        <f t="shared" si="295"/>
        <v>7.5465840517241381E-2</v>
      </c>
      <c r="M417" s="116">
        <f t="shared" si="295"/>
        <v>7.5465840517241381E-2</v>
      </c>
      <c r="N417" s="116">
        <f t="shared" si="295"/>
        <v>7.5465840517241381E-2</v>
      </c>
      <c r="O417" s="116">
        <f t="shared" si="295"/>
        <v>7.5465840517241381E-2</v>
      </c>
      <c r="P417" s="116">
        <f t="shared" si="295"/>
        <v>7.5465840517241381E-2</v>
      </c>
      <c r="Q417" s="116">
        <f t="shared" si="295"/>
        <v>7.5465840517241381E-2</v>
      </c>
      <c r="R417" s="116">
        <f t="shared" si="295"/>
        <v>7.5465840517241381E-2</v>
      </c>
      <c r="S417" s="116">
        <f t="shared" si="295"/>
        <v>7.5465840517241381E-2</v>
      </c>
      <c r="T417" s="116">
        <f t="shared" si="295"/>
        <v>7.5465840517241381E-2</v>
      </c>
      <c r="U417" s="116">
        <f t="shared" si="295"/>
        <v>7.5465840517241381E-2</v>
      </c>
      <c r="V417" s="180">
        <f t="shared" si="293"/>
        <v>1.5093168103448282</v>
      </c>
      <c r="W417" s="161">
        <f t="shared" si="294"/>
        <v>7.5465840517241409E-2</v>
      </c>
    </row>
    <row r="418" spans="1:23">
      <c r="A418" s="263" t="s">
        <v>1147</v>
      </c>
      <c r="B418" s="34">
        <f>SUM(B416:B417)</f>
        <v>25.137933840517242</v>
      </c>
      <c r="C418" s="34">
        <f t="shared" ref="C418:U418" si="296">SUM(C416:C417)</f>
        <v>0.73224084051724125</v>
      </c>
      <c r="D418" s="34">
        <f t="shared" si="296"/>
        <v>0.72549084051724122</v>
      </c>
      <c r="E418" s="34">
        <f t="shared" si="296"/>
        <v>0.83686584051724133</v>
      </c>
      <c r="F418" s="34">
        <f t="shared" si="296"/>
        <v>0.73224084051724125</v>
      </c>
      <c r="G418" s="34">
        <f t="shared" si="296"/>
        <v>0.72549084051724122</v>
      </c>
      <c r="H418" s="34">
        <f t="shared" si="296"/>
        <v>0.83146584051724137</v>
      </c>
      <c r="I418" s="34">
        <f t="shared" si="296"/>
        <v>0.72549084051724122</v>
      </c>
      <c r="J418" s="34">
        <f t="shared" si="296"/>
        <v>0.73089084051724129</v>
      </c>
      <c r="K418" s="34">
        <f t="shared" si="296"/>
        <v>0.83146584051724137</v>
      </c>
      <c r="L418" s="34">
        <f t="shared" si="296"/>
        <v>0.72549084051724122</v>
      </c>
      <c r="M418" s="34">
        <f t="shared" si="296"/>
        <v>0.72549084051724122</v>
      </c>
      <c r="N418" s="34">
        <f t="shared" si="296"/>
        <v>0.83146584051724137</v>
      </c>
      <c r="O418" s="34">
        <f t="shared" si="296"/>
        <v>0.73089084051724129</v>
      </c>
      <c r="P418" s="34">
        <f t="shared" si="296"/>
        <v>0.72549084051724122</v>
      </c>
      <c r="Q418" s="34">
        <f t="shared" si="296"/>
        <v>0.82471584051724134</v>
      </c>
      <c r="R418" s="34">
        <f t="shared" si="296"/>
        <v>0.72549084051724122</v>
      </c>
      <c r="S418" s="34">
        <f t="shared" si="296"/>
        <v>0.72549084051724122</v>
      </c>
      <c r="T418" s="34">
        <f t="shared" si="296"/>
        <v>0.8382158405172413</v>
      </c>
      <c r="U418" s="34">
        <f t="shared" si="296"/>
        <v>0.72549084051724122</v>
      </c>
      <c r="V418" s="182">
        <f t="shared" ref="V418" si="297">SUM(B418:U418)</f>
        <v>39.587809810344815</v>
      </c>
      <c r="W418" s="283">
        <f t="shared" ref="W418" si="298">V418/20</f>
        <v>1.9793904905172408</v>
      </c>
    </row>
    <row r="419" spans="1:23" s="99" customFormat="1">
      <c r="A419" s="269" t="s">
        <v>123</v>
      </c>
      <c r="B419" s="52">
        <v>0.96618357487922713</v>
      </c>
      <c r="C419" s="52">
        <v>0.93351070036640305</v>
      </c>
      <c r="D419" s="52">
        <v>0.90194270566802237</v>
      </c>
      <c r="E419" s="52">
        <v>0.87144222769857238</v>
      </c>
      <c r="F419" s="52">
        <v>0.84197316685852419</v>
      </c>
      <c r="G419" s="52">
        <v>0.81350064430775282</v>
      </c>
      <c r="H419" s="52">
        <v>0.78599096068381913</v>
      </c>
      <c r="I419" s="52">
        <v>0.75941155621625056</v>
      </c>
      <c r="J419" s="52">
        <v>0.73373097218961414</v>
      </c>
      <c r="K419" s="52">
        <v>0.70891881370977217</v>
      </c>
      <c r="L419" s="52">
        <v>0.68494571372924851</v>
      </c>
      <c r="M419" s="52">
        <v>0.66178329828912896</v>
      </c>
      <c r="N419" s="52">
        <v>0.63940415293635666</v>
      </c>
      <c r="O419" s="52">
        <v>0.61778179027667302</v>
      </c>
      <c r="P419" s="52">
        <v>0.59689061862480497</v>
      </c>
      <c r="Q419" s="52">
        <v>0.57670591171478747</v>
      </c>
      <c r="R419" s="52">
        <v>0.55720377943457733</v>
      </c>
      <c r="S419" s="52">
        <v>0.53836113955031628</v>
      </c>
      <c r="T419" s="52">
        <v>0.52015569038677911</v>
      </c>
      <c r="U419" s="52">
        <v>0.50256588443167061</v>
      </c>
      <c r="V419" s="179"/>
      <c r="W419" s="140"/>
    </row>
    <row r="420" spans="1:23" s="99" customFormat="1" ht="26.25" thickBot="1">
      <c r="A420" s="43" t="s">
        <v>1148</v>
      </c>
      <c r="B420" s="38">
        <f>B419*B418</f>
        <v>24.287858783108447</v>
      </c>
      <c r="C420" s="38">
        <f t="shared" ref="C420:U420" si="299">C419*C418</f>
        <v>0.68355465986813357</v>
      </c>
      <c r="D420" s="38">
        <f t="shared" si="299"/>
        <v>0.65435117163348822</v>
      </c>
      <c r="E420" s="38">
        <f t="shared" si="299"/>
        <v>0.72928023234518302</v>
      </c>
      <c r="F420" s="38">
        <f t="shared" si="299"/>
        <v>0.61652713939344916</v>
      </c>
      <c r="G420" s="38">
        <f t="shared" si="299"/>
        <v>0.59018726620014883</v>
      </c>
      <c r="H420" s="38">
        <f t="shared" si="299"/>
        <v>0.65352463476392564</v>
      </c>
      <c r="I420" s="38">
        <f t="shared" si="299"/>
        <v>0.55094612821783384</v>
      </c>
      <c r="J420" s="38">
        <f t="shared" si="299"/>
        <v>0.5362772469771997</v>
      </c>
      <c r="K420" s="38">
        <f t="shared" si="299"/>
        <v>0.58944177729968139</v>
      </c>
      <c r="L420" s="38">
        <f t="shared" si="299"/>
        <v>0.49692184156211416</v>
      </c>
      <c r="M420" s="38">
        <f t="shared" si="299"/>
        <v>0.48011772131605235</v>
      </c>
      <c r="N420" s="38">
        <f t="shared" si="299"/>
        <v>0.5316427114514426</v>
      </c>
      <c r="O420" s="38">
        <f t="shared" si="299"/>
        <v>0.45153105195156362</v>
      </c>
      <c r="P420" s="38">
        <f t="shared" si="299"/>
        <v>0.43303867660296586</v>
      </c>
      <c r="Q420" s="38">
        <f t="shared" si="299"/>
        <v>0.47561850071112294</v>
      </c>
      <c r="R420" s="38">
        <f t="shared" si="299"/>
        <v>0.40424623828137501</v>
      </c>
      <c r="S420" s="38">
        <f t="shared" si="299"/>
        <v>0.39057607563417873</v>
      </c>
      <c r="T420" s="38">
        <f t="shared" si="299"/>
        <v>0.43600273921737998</v>
      </c>
      <c r="U420" s="38">
        <f t="shared" si="299"/>
        <v>0.3646069459116234</v>
      </c>
      <c r="V420" s="378">
        <f t="shared" ref="V420" si="300">SUM(B420:U420)</f>
        <v>34.35625154244731</v>
      </c>
      <c r="W420" s="146"/>
    </row>
    <row r="421" spans="1:23" s="99" customFormat="1">
      <c r="A421" s="260"/>
      <c r="B421" s="34"/>
      <c r="C421" s="34"/>
      <c r="D421" s="34"/>
      <c r="E421" s="34"/>
      <c r="F421" s="34"/>
      <c r="G421" s="34"/>
      <c r="H421" s="34"/>
      <c r="I421" s="34"/>
      <c r="J421" s="34"/>
      <c r="K421" s="34"/>
      <c r="L421" s="34"/>
      <c r="M421" s="34"/>
      <c r="N421" s="34"/>
      <c r="O421" s="34"/>
      <c r="P421" s="34"/>
      <c r="Q421" s="34"/>
      <c r="R421" s="34"/>
      <c r="S421" s="34"/>
      <c r="T421" s="34"/>
      <c r="U421" s="34"/>
      <c r="V421" s="34"/>
      <c r="W421" s="13"/>
    </row>
    <row r="422" spans="1:23" s="99" customFormat="1" ht="24" customHeight="1">
      <c r="A422" s="329" t="s">
        <v>1324</v>
      </c>
      <c r="B422" s="282"/>
      <c r="C422" s="282"/>
      <c r="D422" s="282"/>
      <c r="E422" s="282"/>
      <c r="F422" s="282"/>
      <c r="G422" s="282"/>
      <c r="H422" s="282"/>
      <c r="I422" s="282"/>
      <c r="J422" s="282"/>
      <c r="K422" s="282"/>
      <c r="L422" s="282"/>
      <c r="M422" s="282"/>
      <c r="N422" s="282"/>
      <c r="O422" s="282"/>
      <c r="P422" s="282"/>
      <c r="Q422" s="282"/>
      <c r="R422" s="282"/>
      <c r="S422" s="282"/>
      <c r="T422" s="282"/>
      <c r="U422" s="282"/>
      <c r="V422" s="282"/>
      <c r="W422" s="282"/>
    </row>
    <row r="423" spans="1:23" s="20" customFormat="1" ht="57" customHeight="1" thickBot="1">
      <c r="A423" s="435" t="s">
        <v>973</v>
      </c>
      <c r="B423" s="435"/>
      <c r="C423" s="435"/>
      <c r="D423" s="435"/>
      <c r="E423" s="435"/>
      <c r="F423" s="435"/>
      <c r="G423" s="435"/>
      <c r="H423" s="435"/>
      <c r="I423" s="435"/>
      <c r="J423" s="435"/>
      <c r="K423" s="435"/>
      <c r="L423" s="435"/>
      <c r="M423" s="435"/>
      <c r="N423" s="435"/>
      <c r="O423" s="435"/>
      <c r="P423" s="435"/>
      <c r="Q423" s="435"/>
      <c r="R423" s="435"/>
      <c r="S423" s="435"/>
      <c r="T423" s="435"/>
      <c r="U423" s="435"/>
      <c r="V423" s="435"/>
      <c r="W423" s="435"/>
    </row>
    <row r="424" spans="1:23" s="99" customFormat="1" ht="13.5" customHeight="1">
      <c r="A424" s="256" t="s">
        <v>14</v>
      </c>
      <c r="B424" s="257">
        <v>2013</v>
      </c>
      <c r="C424" s="257">
        <v>2014</v>
      </c>
      <c r="D424" s="257">
        <v>2015</v>
      </c>
      <c r="E424" s="257">
        <v>2016</v>
      </c>
      <c r="F424" s="257">
        <v>2017</v>
      </c>
      <c r="G424" s="257">
        <v>2018</v>
      </c>
      <c r="H424" s="257">
        <v>2019</v>
      </c>
      <c r="I424" s="257">
        <v>2020</v>
      </c>
      <c r="J424" s="257">
        <v>2021</v>
      </c>
      <c r="K424" s="257">
        <v>2022</v>
      </c>
      <c r="L424" s="257">
        <v>2023</v>
      </c>
      <c r="M424" s="257">
        <v>2024</v>
      </c>
      <c r="N424" s="257">
        <v>2025</v>
      </c>
      <c r="O424" s="257">
        <v>2026</v>
      </c>
      <c r="P424" s="257">
        <v>2027</v>
      </c>
      <c r="Q424" s="257">
        <v>2028</v>
      </c>
      <c r="R424" s="257">
        <v>2029</v>
      </c>
      <c r="S424" s="257">
        <v>2030</v>
      </c>
      <c r="T424" s="257">
        <v>2031</v>
      </c>
      <c r="U424" s="257">
        <v>2032</v>
      </c>
      <c r="V424" s="402" t="s">
        <v>15</v>
      </c>
      <c r="W424" s="404" t="s">
        <v>1055</v>
      </c>
    </row>
    <row r="425" spans="1:23" s="100" customFormat="1" ht="13.5" thickBot="1">
      <c r="A425" s="258" t="s">
        <v>1052</v>
      </c>
      <c r="B425" s="259">
        <v>1</v>
      </c>
      <c r="C425" s="259">
        <v>2</v>
      </c>
      <c r="D425" s="259">
        <v>3</v>
      </c>
      <c r="E425" s="259">
        <v>4</v>
      </c>
      <c r="F425" s="259">
        <v>5</v>
      </c>
      <c r="G425" s="259">
        <v>6</v>
      </c>
      <c r="H425" s="259">
        <v>7</v>
      </c>
      <c r="I425" s="259">
        <v>8</v>
      </c>
      <c r="J425" s="259">
        <v>9</v>
      </c>
      <c r="K425" s="259">
        <v>10</v>
      </c>
      <c r="L425" s="259">
        <v>11</v>
      </c>
      <c r="M425" s="259">
        <v>12</v>
      </c>
      <c r="N425" s="259">
        <v>13</v>
      </c>
      <c r="O425" s="259">
        <v>14</v>
      </c>
      <c r="P425" s="259">
        <v>15</v>
      </c>
      <c r="Q425" s="259">
        <v>16</v>
      </c>
      <c r="R425" s="259">
        <v>17</v>
      </c>
      <c r="S425" s="259">
        <v>18</v>
      </c>
      <c r="T425" s="259">
        <v>19</v>
      </c>
      <c r="U425" s="259">
        <v>20</v>
      </c>
      <c r="V425" s="403"/>
      <c r="W425" s="405"/>
    </row>
    <row r="426" spans="1:23" s="99" customFormat="1" ht="13.5" thickBot="1">
      <c r="A426" s="279" t="s">
        <v>1054</v>
      </c>
      <c r="B426" s="189"/>
      <c r="C426" s="189"/>
      <c r="D426" s="189"/>
      <c r="E426" s="189"/>
      <c r="F426" s="189"/>
      <c r="G426" s="189"/>
      <c r="H426" s="189"/>
      <c r="I426" s="189"/>
      <c r="J426" s="189"/>
      <c r="K426" s="189"/>
      <c r="L426" s="189"/>
      <c r="M426" s="189"/>
      <c r="N426" s="189"/>
      <c r="O426" s="189"/>
      <c r="P426" s="189"/>
      <c r="Q426" s="189"/>
      <c r="R426" s="189"/>
      <c r="S426" s="189"/>
      <c r="T426" s="189"/>
      <c r="U426" s="189"/>
      <c r="V426" s="162"/>
      <c r="W426" s="163"/>
    </row>
    <row r="427" spans="1:23" s="99" customFormat="1">
      <c r="A427" s="274" t="s">
        <v>1053</v>
      </c>
      <c r="B427" s="188"/>
      <c r="C427" s="188"/>
      <c r="D427" s="188"/>
      <c r="E427" s="188"/>
      <c r="F427" s="188"/>
      <c r="G427" s="188"/>
      <c r="H427" s="188"/>
      <c r="I427" s="188"/>
      <c r="J427" s="188"/>
      <c r="K427" s="188"/>
      <c r="L427" s="188"/>
      <c r="M427" s="188"/>
      <c r="N427" s="188"/>
      <c r="O427" s="188"/>
      <c r="P427" s="188"/>
      <c r="Q427" s="188"/>
      <c r="R427" s="188"/>
      <c r="S427" s="188"/>
      <c r="T427" s="188"/>
      <c r="U427" s="188"/>
      <c r="V427" s="178"/>
      <c r="W427" s="130"/>
    </row>
    <row r="428" spans="1:23" s="99" customFormat="1">
      <c r="A428" s="263"/>
      <c r="B428" s="100"/>
      <c r="C428" s="100"/>
      <c r="D428" s="100"/>
      <c r="E428" s="100"/>
      <c r="F428" s="100"/>
      <c r="G428" s="100"/>
      <c r="H428" s="100"/>
      <c r="I428" s="100"/>
      <c r="J428" s="100"/>
      <c r="K428" s="100"/>
      <c r="L428" s="100"/>
      <c r="M428" s="100"/>
      <c r="N428" s="100"/>
      <c r="O428" s="100"/>
      <c r="P428" s="100"/>
      <c r="Q428" s="100"/>
      <c r="R428" s="100"/>
      <c r="S428" s="100"/>
      <c r="T428" s="100"/>
      <c r="U428" s="100"/>
      <c r="V428" s="179"/>
      <c r="W428" s="140"/>
    </row>
    <row r="429" spans="1:23" s="99" customFormat="1">
      <c r="A429" s="135" t="s">
        <v>1091</v>
      </c>
      <c r="B429" s="100"/>
      <c r="C429" s="100"/>
      <c r="D429" s="100"/>
      <c r="E429" s="100"/>
      <c r="F429" s="100"/>
      <c r="G429" s="100"/>
      <c r="H429" s="100"/>
      <c r="I429" s="100"/>
      <c r="J429" s="100"/>
      <c r="K429" s="100"/>
      <c r="L429" s="100"/>
      <c r="M429" s="100"/>
      <c r="N429" s="100"/>
      <c r="O429" s="100"/>
      <c r="P429" s="100"/>
      <c r="Q429" s="100"/>
      <c r="R429" s="100"/>
      <c r="S429" s="100"/>
      <c r="T429" s="100"/>
      <c r="U429" s="100"/>
      <c r="V429" s="179"/>
      <c r="W429" s="132"/>
    </row>
    <row r="430" spans="1:23" s="99" customFormat="1">
      <c r="A430" s="200" t="s">
        <v>679</v>
      </c>
      <c r="B430" s="52">
        <f t="shared" ref="B430:U430" si="301">B25</f>
        <v>0</v>
      </c>
      <c r="C430" s="52">
        <f t="shared" si="301"/>
        <v>6.7499999999999999E-3</v>
      </c>
      <c r="D430" s="52">
        <f t="shared" si="301"/>
        <v>0</v>
      </c>
      <c r="E430" s="52">
        <f t="shared" si="301"/>
        <v>0</v>
      </c>
      <c r="F430" s="52">
        <f t="shared" si="301"/>
        <v>6.7499999999999999E-3</v>
      </c>
      <c r="G430" s="52">
        <f t="shared" si="301"/>
        <v>0</v>
      </c>
      <c r="H430" s="52">
        <f t="shared" si="301"/>
        <v>0</v>
      </c>
      <c r="I430" s="52">
        <f t="shared" si="301"/>
        <v>0</v>
      </c>
      <c r="J430" s="52">
        <f t="shared" si="301"/>
        <v>0</v>
      </c>
      <c r="K430" s="52">
        <f t="shared" si="301"/>
        <v>0</v>
      </c>
      <c r="L430" s="52">
        <f t="shared" si="301"/>
        <v>0</v>
      </c>
      <c r="M430" s="52">
        <f t="shared" si="301"/>
        <v>0</v>
      </c>
      <c r="N430" s="52">
        <f t="shared" si="301"/>
        <v>0</v>
      </c>
      <c r="O430" s="52">
        <f t="shared" si="301"/>
        <v>0</v>
      </c>
      <c r="P430" s="52">
        <f t="shared" si="301"/>
        <v>0</v>
      </c>
      <c r="Q430" s="52">
        <f t="shared" si="301"/>
        <v>0</v>
      </c>
      <c r="R430" s="52">
        <f t="shared" si="301"/>
        <v>0</v>
      </c>
      <c r="S430" s="52">
        <f t="shared" si="301"/>
        <v>0</v>
      </c>
      <c r="T430" s="52">
        <f t="shared" si="301"/>
        <v>0</v>
      </c>
      <c r="U430" s="52">
        <f t="shared" si="301"/>
        <v>0</v>
      </c>
      <c r="V430" s="180">
        <f>SUM(B430:U430)</f>
        <v>1.35E-2</v>
      </c>
      <c r="W430" s="133">
        <f>V430/20</f>
        <v>6.7500000000000004E-4</v>
      </c>
    </row>
    <row r="431" spans="1:23" s="20" customFormat="1">
      <c r="A431" s="200" t="s">
        <v>680</v>
      </c>
      <c r="B431" s="52">
        <f>('Scenario 2 Assumptions'!$B$279*('Scenario 2 Assumptions'!$B$352*0.5)/20)+B32</f>
        <v>8.437500000000001E-4</v>
      </c>
      <c r="C431" s="52">
        <f>('Scenario 2 Assumptions'!$B$279*('Scenario 2 Assumptions'!$B$352*0.5)/20)+C32</f>
        <v>8.437500000000001E-4</v>
      </c>
      <c r="D431" s="52">
        <f>('Scenario 2 Assumptions'!$B$279*('Scenario 2 Assumptions'!$B$352*0.5)/20)+D32</f>
        <v>8.437500000000001E-4</v>
      </c>
      <c r="E431" s="52">
        <f>('Scenario 2 Assumptions'!$B$279*('Scenario 2 Assumptions'!$B$352*0.5)/20)+E32</f>
        <v>8.437500000000001E-4</v>
      </c>
      <c r="F431" s="52">
        <f>('Scenario 2 Assumptions'!$B$279*('Scenario 2 Assumptions'!$B$352*0.5)/20)+F32</f>
        <v>8.437500000000001E-4</v>
      </c>
      <c r="G431" s="52">
        <f>('Scenario 2 Assumptions'!$B$279*('Scenario 2 Assumptions'!$B$352*0.5)/20)+G32</f>
        <v>8.437500000000001E-4</v>
      </c>
      <c r="H431" s="52">
        <f>('Scenario 2 Assumptions'!$B$279*('Scenario 2 Assumptions'!$B$352*0.5)/20)+H32</f>
        <v>8.437500000000001E-4</v>
      </c>
      <c r="I431" s="52">
        <f>('Scenario 2 Assumptions'!$B$279*('Scenario 2 Assumptions'!$B$352*0.5)/20)+I32</f>
        <v>8.437500000000001E-4</v>
      </c>
      <c r="J431" s="52">
        <f>('Scenario 2 Assumptions'!$B$279*('Scenario 2 Assumptions'!$B$352*0.5)/20)+J32</f>
        <v>8.437500000000001E-4</v>
      </c>
      <c r="K431" s="52">
        <f>('Scenario 2 Assumptions'!$B$279*('Scenario 2 Assumptions'!$B$352*0.5)/20)+K32</f>
        <v>8.437500000000001E-4</v>
      </c>
      <c r="L431" s="52">
        <f>('Scenario 2 Assumptions'!$B$279*('Scenario 2 Assumptions'!$B$352*0.5)/20)+L32</f>
        <v>8.437500000000001E-4</v>
      </c>
      <c r="M431" s="52">
        <f>('Scenario 2 Assumptions'!$B$279*('Scenario 2 Assumptions'!$B$352*0.5)/20)+M32</f>
        <v>8.437500000000001E-4</v>
      </c>
      <c r="N431" s="52">
        <f>('Scenario 2 Assumptions'!$B$279*('Scenario 2 Assumptions'!$B$352*0.5)/20)+N32</f>
        <v>8.437500000000001E-4</v>
      </c>
      <c r="O431" s="52">
        <f>('Scenario 2 Assumptions'!$B$279*('Scenario 2 Assumptions'!$B$352*0.5)/20)+O32</f>
        <v>8.437500000000001E-4</v>
      </c>
      <c r="P431" s="52">
        <f>('Scenario 2 Assumptions'!$B$279*('Scenario 2 Assumptions'!$B$352*0.5)/20)+P32</f>
        <v>8.437500000000001E-4</v>
      </c>
      <c r="Q431" s="52">
        <f>('Scenario 2 Assumptions'!$B$279*('Scenario 2 Assumptions'!$B$352*0.5)/20)+Q32</f>
        <v>8.437500000000001E-4</v>
      </c>
      <c r="R431" s="52">
        <f>('Scenario 2 Assumptions'!$B$279*('Scenario 2 Assumptions'!$B$352*0.5)/20)+R32</f>
        <v>8.437500000000001E-4</v>
      </c>
      <c r="S431" s="52">
        <f>('Scenario 2 Assumptions'!$B$279*('Scenario 2 Assumptions'!$B$352*0.5)/20)+S32</f>
        <v>8.437500000000001E-4</v>
      </c>
      <c r="T431" s="52">
        <f>('Scenario 2 Assumptions'!$B$279*('Scenario 2 Assumptions'!$B$352*0.5)/20)+T32</f>
        <v>8.437500000000001E-4</v>
      </c>
      <c r="U431" s="52">
        <f>('Scenario 2 Assumptions'!$B$279*('Scenario 2 Assumptions'!$B$352*0.5)/20)+U32</f>
        <v>8.437500000000001E-4</v>
      </c>
      <c r="V431" s="180">
        <f t="shared" ref="V431:V432" si="302">SUM(B431:U431)</f>
        <v>1.6875000000000008E-2</v>
      </c>
      <c r="W431" s="133">
        <f t="shared" ref="W431:W432" si="303">V431/20</f>
        <v>8.4375000000000042E-4</v>
      </c>
    </row>
    <row r="432" spans="1:23" s="99" customFormat="1" ht="13.5" customHeight="1">
      <c r="A432" s="49" t="s">
        <v>664</v>
      </c>
      <c r="B432" s="34">
        <f>SUM(B430:B431)</f>
        <v>8.437500000000001E-4</v>
      </c>
      <c r="C432" s="34">
        <f t="shared" ref="C432:U432" si="304">SUM(C430:C431)</f>
        <v>7.5937499999999998E-3</v>
      </c>
      <c r="D432" s="34">
        <f t="shared" si="304"/>
        <v>8.437500000000001E-4</v>
      </c>
      <c r="E432" s="34">
        <f t="shared" si="304"/>
        <v>8.437500000000001E-4</v>
      </c>
      <c r="F432" s="34">
        <f t="shared" si="304"/>
        <v>7.5937499999999998E-3</v>
      </c>
      <c r="G432" s="34">
        <f t="shared" si="304"/>
        <v>8.437500000000001E-4</v>
      </c>
      <c r="H432" s="34">
        <f t="shared" si="304"/>
        <v>8.437500000000001E-4</v>
      </c>
      <c r="I432" s="34">
        <f t="shared" si="304"/>
        <v>8.437500000000001E-4</v>
      </c>
      <c r="J432" s="34">
        <f t="shared" si="304"/>
        <v>8.437500000000001E-4</v>
      </c>
      <c r="K432" s="34">
        <f t="shared" si="304"/>
        <v>8.437500000000001E-4</v>
      </c>
      <c r="L432" s="34">
        <f t="shared" si="304"/>
        <v>8.437500000000001E-4</v>
      </c>
      <c r="M432" s="34">
        <f t="shared" si="304"/>
        <v>8.437500000000001E-4</v>
      </c>
      <c r="N432" s="34">
        <f t="shared" si="304"/>
        <v>8.437500000000001E-4</v>
      </c>
      <c r="O432" s="34">
        <f t="shared" si="304"/>
        <v>8.437500000000001E-4</v>
      </c>
      <c r="P432" s="34">
        <f t="shared" si="304"/>
        <v>8.437500000000001E-4</v>
      </c>
      <c r="Q432" s="34">
        <f t="shared" si="304"/>
        <v>8.437500000000001E-4</v>
      </c>
      <c r="R432" s="34">
        <f t="shared" si="304"/>
        <v>8.437500000000001E-4</v>
      </c>
      <c r="S432" s="34">
        <f t="shared" si="304"/>
        <v>8.437500000000001E-4</v>
      </c>
      <c r="T432" s="34">
        <f t="shared" si="304"/>
        <v>8.437500000000001E-4</v>
      </c>
      <c r="U432" s="34">
        <f t="shared" si="304"/>
        <v>8.437500000000001E-4</v>
      </c>
      <c r="V432" s="180">
        <f t="shared" si="302"/>
        <v>3.0375000000000013E-2</v>
      </c>
      <c r="W432" s="133">
        <f t="shared" si="303"/>
        <v>1.5187500000000006E-3</v>
      </c>
    </row>
    <row r="433" spans="1:23" s="100" customFormat="1">
      <c r="A433" s="134" t="s">
        <v>123</v>
      </c>
      <c r="B433" s="52">
        <v>0.96618357487922713</v>
      </c>
      <c r="C433" s="52">
        <v>0.93351070036640305</v>
      </c>
      <c r="D433" s="52">
        <v>0.90194270566802237</v>
      </c>
      <c r="E433" s="52">
        <v>0.87144222769857238</v>
      </c>
      <c r="F433" s="52">
        <v>0.84197316685852419</v>
      </c>
      <c r="G433" s="52">
        <v>0.81350064430775282</v>
      </c>
      <c r="H433" s="52">
        <v>0.78599096068381913</v>
      </c>
      <c r="I433" s="52">
        <v>0.75941155621625056</v>
      </c>
      <c r="J433" s="52">
        <v>0.73373097218961414</v>
      </c>
      <c r="K433" s="52">
        <v>0.70891881370977217</v>
      </c>
      <c r="L433" s="52">
        <v>0.68494571372924851</v>
      </c>
      <c r="M433" s="52">
        <v>0.66178329828912896</v>
      </c>
      <c r="N433" s="52">
        <v>0.63940415293635666</v>
      </c>
      <c r="O433" s="52">
        <v>0.61778179027667302</v>
      </c>
      <c r="P433" s="52">
        <v>0.59689061862480497</v>
      </c>
      <c r="Q433" s="52">
        <v>0.57670591171478747</v>
      </c>
      <c r="R433" s="52">
        <v>0.55720377943457733</v>
      </c>
      <c r="S433" s="52">
        <v>0.53836113955031628</v>
      </c>
      <c r="T433" s="52">
        <v>0.52015569038677911</v>
      </c>
      <c r="U433" s="52">
        <v>0.50256588443167061</v>
      </c>
      <c r="V433" s="180"/>
      <c r="W433" s="133"/>
    </row>
    <row r="434" spans="1:23" s="99" customFormat="1">
      <c r="A434" s="50" t="s">
        <v>1069</v>
      </c>
      <c r="B434" s="34">
        <f t="shared" ref="B434:U434" si="305">B433*B432</f>
        <v>8.15217391304348E-4</v>
      </c>
      <c r="C434" s="34">
        <f t="shared" si="305"/>
        <v>7.0888468809073733E-3</v>
      </c>
      <c r="D434" s="34">
        <f t="shared" si="305"/>
        <v>7.6101415790739394E-4</v>
      </c>
      <c r="E434" s="34">
        <f t="shared" si="305"/>
        <v>7.3527937962067054E-4</v>
      </c>
      <c r="F434" s="34">
        <f t="shared" si="305"/>
        <v>6.3937337358319175E-3</v>
      </c>
      <c r="G434" s="34">
        <f t="shared" si="305"/>
        <v>6.8639116863466651E-4</v>
      </c>
      <c r="H434" s="34">
        <f t="shared" si="305"/>
        <v>6.6317987307697244E-4</v>
      </c>
      <c r="I434" s="34">
        <f t="shared" si="305"/>
        <v>6.4075350055746146E-4</v>
      </c>
      <c r="J434" s="34">
        <f t="shared" si="305"/>
        <v>6.1908550778498703E-4</v>
      </c>
      <c r="K434" s="34">
        <f t="shared" si="305"/>
        <v>5.9815024906762035E-4</v>
      </c>
      <c r="L434" s="34">
        <f t="shared" si="305"/>
        <v>5.7792294595905352E-4</v>
      </c>
      <c r="M434" s="34">
        <f t="shared" si="305"/>
        <v>5.5837965793145261E-4</v>
      </c>
      <c r="N434" s="34">
        <f t="shared" si="305"/>
        <v>5.3949725404005104E-4</v>
      </c>
      <c r="O434" s="34">
        <f t="shared" si="305"/>
        <v>5.2125338554594289E-4</v>
      </c>
      <c r="P434" s="34">
        <f t="shared" si="305"/>
        <v>5.0362645946467927E-4</v>
      </c>
      <c r="Q434" s="34">
        <f t="shared" si="305"/>
        <v>4.8659561300935198E-4</v>
      </c>
      <c r="R434" s="34">
        <f t="shared" si="305"/>
        <v>4.7014068889792468E-4</v>
      </c>
      <c r="S434" s="34">
        <f t="shared" si="305"/>
        <v>4.542422114955794E-4</v>
      </c>
      <c r="T434" s="34">
        <f t="shared" si="305"/>
        <v>4.3888136376384491E-4</v>
      </c>
      <c r="U434" s="34">
        <f t="shared" si="305"/>
        <v>4.2403996498922213E-4</v>
      </c>
      <c r="V434" s="182">
        <f>SUM(B434:U434)</f>
        <v>2.3976231389790506E-2</v>
      </c>
      <c r="W434" s="35"/>
    </row>
    <row r="435" spans="1:23" s="99" customFormat="1">
      <c r="A435" s="131"/>
      <c r="B435" s="52"/>
      <c r="C435" s="52"/>
      <c r="D435" s="52"/>
      <c r="E435" s="52"/>
      <c r="F435" s="52"/>
      <c r="G435" s="52"/>
      <c r="H435" s="52"/>
      <c r="I435" s="52"/>
      <c r="J435" s="52"/>
      <c r="K435" s="52"/>
      <c r="L435" s="52"/>
      <c r="M435" s="52"/>
      <c r="N435" s="52"/>
      <c r="O435" s="52"/>
      <c r="P435" s="52"/>
      <c r="Q435" s="52"/>
      <c r="R435" s="52"/>
      <c r="S435" s="52"/>
      <c r="T435" s="52"/>
      <c r="U435" s="52"/>
      <c r="V435" s="180"/>
      <c r="W435" s="133"/>
    </row>
    <row r="436" spans="1:23" s="99" customFormat="1">
      <c r="A436" s="135" t="s">
        <v>1203</v>
      </c>
      <c r="B436" s="52"/>
      <c r="C436" s="52"/>
      <c r="D436" s="52"/>
      <c r="E436" s="52"/>
      <c r="F436" s="52"/>
      <c r="G436" s="52"/>
      <c r="H436" s="52"/>
      <c r="I436" s="52"/>
      <c r="J436" s="52"/>
      <c r="K436" s="52"/>
      <c r="L436" s="52"/>
      <c r="M436" s="52"/>
      <c r="N436" s="52"/>
      <c r="O436" s="52"/>
      <c r="P436" s="52"/>
      <c r="Q436" s="52"/>
      <c r="R436" s="52"/>
      <c r="S436" s="52"/>
      <c r="T436" s="52"/>
      <c r="U436" s="52"/>
      <c r="V436" s="180"/>
      <c r="W436" s="133"/>
    </row>
    <row r="437" spans="1:23" s="99" customFormat="1">
      <c r="A437" s="200" t="s">
        <v>679</v>
      </c>
      <c r="B437" s="52">
        <f t="shared" ref="B437:U437" si="306">B15</f>
        <v>0</v>
      </c>
      <c r="C437" s="52">
        <f t="shared" si="306"/>
        <v>0</v>
      </c>
      <c r="D437" s="52">
        <f t="shared" si="306"/>
        <v>0</v>
      </c>
      <c r="E437" s="52">
        <f t="shared" si="306"/>
        <v>1.35E-2</v>
      </c>
      <c r="F437" s="52">
        <f t="shared" si="306"/>
        <v>0</v>
      </c>
      <c r="G437" s="52">
        <f t="shared" si="306"/>
        <v>0</v>
      </c>
      <c r="H437" s="52">
        <f t="shared" si="306"/>
        <v>0</v>
      </c>
      <c r="I437" s="52">
        <f t="shared" si="306"/>
        <v>0</v>
      </c>
      <c r="J437" s="52">
        <f t="shared" si="306"/>
        <v>1.35E-2</v>
      </c>
      <c r="K437" s="52">
        <f t="shared" si="306"/>
        <v>0</v>
      </c>
      <c r="L437" s="52">
        <f t="shared" si="306"/>
        <v>0</v>
      </c>
      <c r="M437" s="52">
        <f t="shared" si="306"/>
        <v>0</v>
      </c>
      <c r="N437" s="52">
        <f t="shared" si="306"/>
        <v>0</v>
      </c>
      <c r="O437" s="52">
        <f t="shared" si="306"/>
        <v>1.35E-2</v>
      </c>
      <c r="P437" s="52">
        <f t="shared" si="306"/>
        <v>0</v>
      </c>
      <c r="Q437" s="52">
        <f t="shared" si="306"/>
        <v>0</v>
      </c>
      <c r="R437" s="52">
        <f t="shared" si="306"/>
        <v>0</v>
      </c>
      <c r="S437" s="52">
        <f t="shared" si="306"/>
        <v>0</v>
      </c>
      <c r="T437" s="52">
        <f t="shared" si="306"/>
        <v>1.35E-2</v>
      </c>
      <c r="U437" s="52">
        <f t="shared" si="306"/>
        <v>0</v>
      </c>
      <c r="V437" s="180">
        <f>SUM(B437:U437)</f>
        <v>5.3999999999999999E-2</v>
      </c>
      <c r="W437" s="133">
        <f>V437/20</f>
        <v>2.7000000000000001E-3</v>
      </c>
    </row>
    <row r="438" spans="1:23" s="20" customFormat="1">
      <c r="A438" s="200" t="s">
        <v>680</v>
      </c>
      <c r="B438" s="52">
        <f>('Scenario 2 Assumptions'!$B$279*('Scenario 2 Assumptions'!$B$353*0.5)/20)</f>
        <v>1.6875000000000001E-4</v>
      </c>
      <c r="C438" s="52">
        <f>('Scenario 2 Assumptions'!$B$279*('Scenario 2 Assumptions'!$B$353*0.5)/20)</f>
        <v>1.6875000000000001E-4</v>
      </c>
      <c r="D438" s="52">
        <f>('Scenario 2 Assumptions'!$B$279*('Scenario 2 Assumptions'!$B$353*0.5)/20)</f>
        <v>1.6875000000000001E-4</v>
      </c>
      <c r="E438" s="52">
        <f>('Scenario 2 Assumptions'!$B$279*('Scenario 2 Assumptions'!$B$353*0.5)/20)</f>
        <v>1.6875000000000001E-4</v>
      </c>
      <c r="F438" s="52">
        <f>('Scenario 2 Assumptions'!$B$279*('Scenario 2 Assumptions'!$B$353*0.5)/20)</f>
        <v>1.6875000000000001E-4</v>
      </c>
      <c r="G438" s="52">
        <f>('Scenario 2 Assumptions'!$B$279*('Scenario 2 Assumptions'!$B$353*0.5)/20)</f>
        <v>1.6875000000000001E-4</v>
      </c>
      <c r="H438" s="52">
        <f>('Scenario 2 Assumptions'!$B$279*('Scenario 2 Assumptions'!$B$353*0.5)/20)</f>
        <v>1.6875000000000001E-4</v>
      </c>
      <c r="I438" s="52">
        <f>('Scenario 2 Assumptions'!$B$279*('Scenario 2 Assumptions'!$B$353*0.5)/20)</f>
        <v>1.6875000000000001E-4</v>
      </c>
      <c r="J438" s="52">
        <f>('Scenario 2 Assumptions'!$B$279*('Scenario 2 Assumptions'!$B$353*0.5)/20)</f>
        <v>1.6875000000000001E-4</v>
      </c>
      <c r="K438" s="52">
        <f>('Scenario 2 Assumptions'!$B$279*('Scenario 2 Assumptions'!$B$353*0.5)/20)</f>
        <v>1.6875000000000001E-4</v>
      </c>
      <c r="L438" s="52">
        <f>('Scenario 2 Assumptions'!$B$279*('Scenario 2 Assumptions'!$B$353*0.5)/20)</f>
        <v>1.6875000000000001E-4</v>
      </c>
      <c r="M438" s="52">
        <f>('Scenario 2 Assumptions'!$B$279*('Scenario 2 Assumptions'!$B$353*0.5)/20)</f>
        <v>1.6875000000000001E-4</v>
      </c>
      <c r="N438" s="52">
        <f>('Scenario 2 Assumptions'!$B$279*('Scenario 2 Assumptions'!$B$353*0.5)/20)</f>
        <v>1.6875000000000001E-4</v>
      </c>
      <c r="O438" s="52">
        <f>('Scenario 2 Assumptions'!$B$279*('Scenario 2 Assumptions'!$B$353*0.5)/20)</f>
        <v>1.6875000000000001E-4</v>
      </c>
      <c r="P438" s="52">
        <f>('Scenario 2 Assumptions'!$B$279*('Scenario 2 Assumptions'!$B$353*0.5)/20)</f>
        <v>1.6875000000000001E-4</v>
      </c>
      <c r="Q438" s="52">
        <f>('Scenario 2 Assumptions'!$B$279*('Scenario 2 Assumptions'!$B$353*0.5)/20)</f>
        <v>1.6875000000000001E-4</v>
      </c>
      <c r="R438" s="52">
        <f>('Scenario 2 Assumptions'!$B$279*('Scenario 2 Assumptions'!$B$353*0.5)/20)</f>
        <v>1.6875000000000001E-4</v>
      </c>
      <c r="S438" s="52">
        <f>('Scenario 2 Assumptions'!$B$279*('Scenario 2 Assumptions'!$B$353*0.5)/20)</f>
        <v>1.6875000000000001E-4</v>
      </c>
      <c r="T438" s="52">
        <f>('Scenario 2 Assumptions'!$B$279*('Scenario 2 Assumptions'!$B$353*0.5)/20)</f>
        <v>1.6875000000000001E-4</v>
      </c>
      <c r="U438" s="52">
        <f>('Scenario 2 Assumptions'!$B$279*('Scenario 2 Assumptions'!$B$353*0.5)/20)</f>
        <v>1.6875000000000001E-4</v>
      </c>
      <c r="V438" s="180">
        <f>SUM(B438:U438)</f>
        <v>3.3750000000000008E-3</v>
      </c>
      <c r="W438" s="133">
        <f t="shared" ref="W438:W439" si="307">V438/20</f>
        <v>1.6875000000000004E-4</v>
      </c>
    </row>
    <row r="439" spans="1:23" s="99" customFormat="1" ht="13.5" customHeight="1">
      <c r="A439" s="49" t="s">
        <v>664</v>
      </c>
      <c r="B439" s="34">
        <f>SUM(B437:B438)</f>
        <v>1.6875000000000001E-4</v>
      </c>
      <c r="C439" s="34">
        <f t="shared" ref="C439" si="308">SUM(C437:C438)</f>
        <v>1.6875000000000001E-4</v>
      </c>
      <c r="D439" s="34">
        <f t="shared" ref="D439" si="309">SUM(D437:D438)</f>
        <v>1.6875000000000001E-4</v>
      </c>
      <c r="E439" s="34">
        <f t="shared" ref="E439" si="310">SUM(E437:E438)</f>
        <v>1.366875E-2</v>
      </c>
      <c r="F439" s="34">
        <f t="shared" ref="F439" si="311">SUM(F437:F438)</f>
        <v>1.6875000000000001E-4</v>
      </c>
      <c r="G439" s="34">
        <f t="shared" ref="G439" si="312">SUM(G437:G438)</f>
        <v>1.6875000000000001E-4</v>
      </c>
      <c r="H439" s="34">
        <f t="shared" ref="H439" si="313">SUM(H437:H438)</f>
        <v>1.6875000000000001E-4</v>
      </c>
      <c r="I439" s="34">
        <f t="shared" ref="I439" si="314">SUM(I437:I438)</f>
        <v>1.6875000000000001E-4</v>
      </c>
      <c r="J439" s="34">
        <f t="shared" ref="J439" si="315">SUM(J437:J438)</f>
        <v>1.366875E-2</v>
      </c>
      <c r="K439" s="34">
        <f t="shared" ref="K439" si="316">SUM(K437:K438)</f>
        <v>1.6875000000000001E-4</v>
      </c>
      <c r="L439" s="34">
        <f t="shared" ref="L439" si="317">SUM(L437:L438)</f>
        <v>1.6875000000000001E-4</v>
      </c>
      <c r="M439" s="34">
        <f t="shared" ref="M439" si="318">SUM(M437:M438)</f>
        <v>1.6875000000000001E-4</v>
      </c>
      <c r="N439" s="34">
        <f t="shared" ref="N439" si="319">SUM(N437:N438)</f>
        <v>1.6875000000000001E-4</v>
      </c>
      <c r="O439" s="34">
        <f t="shared" ref="O439" si="320">SUM(O437:O438)</f>
        <v>1.366875E-2</v>
      </c>
      <c r="P439" s="34">
        <f t="shared" ref="P439" si="321">SUM(P437:P438)</f>
        <v>1.6875000000000001E-4</v>
      </c>
      <c r="Q439" s="34">
        <f t="shared" ref="Q439" si="322">SUM(Q437:Q438)</f>
        <v>1.6875000000000001E-4</v>
      </c>
      <c r="R439" s="34">
        <f t="shared" ref="R439" si="323">SUM(R437:R438)</f>
        <v>1.6875000000000001E-4</v>
      </c>
      <c r="S439" s="34">
        <f t="shared" ref="S439" si="324">SUM(S437:S438)</f>
        <v>1.6875000000000001E-4</v>
      </c>
      <c r="T439" s="34">
        <f t="shared" ref="T439" si="325">SUM(T437:T438)</f>
        <v>1.366875E-2</v>
      </c>
      <c r="U439" s="34">
        <f t="shared" ref="U439" si="326">SUM(U437:U438)</f>
        <v>1.6875000000000001E-4</v>
      </c>
      <c r="V439" s="180">
        <f t="shared" ref="V439" si="327">SUM(B439:U439)</f>
        <v>5.7375000000000009E-2</v>
      </c>
      <c r="W439" s="133">
        <f t="shared" si="307"/>
        <v>2.8687500000000006E-3</v>
      </c>
    </row>
    <row r="440" spans="1:23" s="100" customFormat="1">
      <c r="A440" s="134" t="s">
        <v>123</v>
      </c>
      <c r="B440" s="52">
        <v>0.96618357487922713</v>
      </c>
      <c r="C440" s="52">
        <v>0.93351070036640305</v>
      </c>
      <c r="D440" s="52">
        <v>0.90194270566802237</v>
      </c>
      <c r="E440" s="52">
        <v>0.87144222769857238</v>
      </c>
      <c r="F440" s="52">
        <v>0.84197316685852419</v>
      </c>
      <c r="G440" s="52">
        <v>0.81350064430775282</v>
      </c>
      <c r="H440" s="52">
        <v>0.78599096068381913</v>
      </c>
      <c r="I440" s="52">
        <v>0.75941155621625056</v>
      </c>
      <c r="J440" s="52">
        <v>0.73373097218961414</v>
      </c>
      <c r="K440" s="52">
        <v>0.70891881370977217</v>
      </c>
      <c r="L440" s="52">
        <v>0.68494571372924851</v>
      </c>
      <c r="M440" s="52">
        <v>0.66178329828912896</v>
      </c>
      <c r="N440" s="52">
        <v>0.63940415293635666</v>
      </c>
      <c r="O440" s="52">
        <v>0.61778179027667302</v>
      </c>
      <c r="P440" s="52">
        <v>0.59689061862480497</v>
      </c>
      <c r="Q440" s="52">
        <v>0.57670591171478747</v>
      </c>
      <c r="R440" s="52">
        <v>0.55720377943457733</v>
      </c>
      <c r="S440" s="52">
        <v>0.53836113955031628</v>
      </c>
      <c r="T440" s="52">
        <v>0.52015569038677911</v>
      </c>
      <c r="U440" s="52">
        <v>0.50256588443167061</v>
      </c>
      <c r="V440" s="180"/>
      <c r="W440" s="133"/>
    </row>
    <row r="441" spans="1:23" s="99" customFormat="1">
      <c r="A441" s="50" t="s">
        <v>1069</v>
      </c>
      <c r="B441" s="34">
        <f t="shared" ref="B441:U441" si="328">B440*B439</f>
        <v>1.6304347826086958E-4</v>
      </c>
      <c r="C441" s="34">
        <f t="shared" si="328"/>
        <v>1.5752993068683053E-4</v>
      </c>
      <c r="D441" s="34">
        <f t="shared" si="328"/>
        <v>1.5220283158147877E-4</v>
      </c>
      <c r="E441" s="34">
        <f t="shared" si="328"/>
        <v>1.1911525949854862E-2</v>
      </c>
      <c r="F441" s="34">
        <f t="shared" si="328"/>
        <v>1.4208297190737598E-4</v>
      </c>
      <c r="G441" s="34">
        <f t="shared" si="328"/>
        <v>1.372782337269333E-4</v>
      </c>
      <c r="H441" s="34">
        <f t="shared" si="328"/>
        <v>1.3263597461539447E-4</v>
      </c>
      <c r="I441" s="34">
        <f t="shared" si="328"/>
        <v>1.281507001114923E-4</v>
      </c>
      <c r="J441" s="34">
        <f t="shared" si="328"/>
        <v>1.0029185226116788E-2</v>
      </c>
      <c r="K441" s="34">
        <f t="shared" si="328"/>
        <v>1.1963004981352407E-4</v>
      </c>
      <c r="L441" s="34">
        <f t="shared" si="328"/>
        <v>1.1558458919181069E-4</v>
      </c>
      <c r="M441" s="34">
        <f t="shared" si="328"/>
        <v>1.1167593158629052E-4</v>
      </c>
      <c r="N441" s="34">
        <f t="shared" si="328"/>
        <v>1.0789945080801019E-4</v>
      </c>
      <c r="O441" s="34">
        <f t="shared" si="328"/>
        <v>8.4443048458442745E-3</v>
      </c>
      <c r="P441" s="34">
        <f t="shared" si="328"/>
        <v>1.0072529189293584E-4</v>
      </c>
      <c r="Q441" s="34">
        <f t="shared" si="328"/>
        <v>9.7319122601870396E-5</v>
      </c>
      <c r="R441" s="34">
        <f t="shared" si="328"/>
        <v>9.402813777958493E-5</v>
      </c>
      <c r="S441" s="34">
        <f t="shared" si="328"/>
        <v>9.0848442299115879E-5</v>
      </c>
      <c r="T441" s="34">
        <f t="shared" si="328"/>
        <v>7.1098780929742872E-3</v>
      </c>
      <c r="U441" s="34">
        <f t="shared" si="328"/>
        <v>8.4807992997844422E-5</v>
      </c>
      <c r="V441" s="182">
        <f>SUM(B441:U441)</f>
        <v>3.9430337244651573E-2</v>
      </c>
      <c r="W441" s="35"/>
    </row>
    <row r="442" spans="1:23" s="99" customFormat="1">
      <c r="A442" s="48"/>
      <c r="B442" s="52"/>
      <c r="C442" s="52"/>
      <c r="D442" s="52"/>
      <c r="E442" s="52"/>
      <c r="F442" s="52"/>
      <c r="G442" s="52"/>
      <c r="H442" s="52"/>
      <c r="I442" s="52"/>
      <c r="J442" s="52"/>
      <c r="K442" s="52"/>
      <c r="L442" s="52"/>
      <c r="M442" s="52"/>
      <c r="N442" s="52"/>
      <c r="O442" s="52"/>
      <c r="P442" s="52"/>
      <c r="Q442" s="52"/>
      <c r="R442" s="52"/>
      <c r="S442" s="52"/>
      <c r="T442" s="52"/>
      <c r="U442" s="52"/>
      <c r="V442" s="180"/>
      <c r="W442" s="133"/>
    </row>
    <row r="443" spans="1:23" s="99" customFormat="1">
      <c r="A443" s="135" t="s">
        <v>1202</v>
      </c>
      <c r="B443" s="52"/>
      <c r="C443" s="52"/>
      <c r="D443" s="52"/>
      <c r="E443" s="52"/>
      <c r="F443" s="52"/>
      <c r="G443" s="52"/>
      <c r="H443" s="52"/>
      <c r="I443" s="52"/>
      <c r="J443" s="52"/>
      <c r="K443" s="52"/>
      <c r="L443" s="52"/>
      <c r="M443" s="52"/>
      <c r="N443" s="52"/>
      <c r="O443" s="52"/>
      <c r="P443" s="52"/>
      <c r="Q443" s="52"/>
      <c r="R443" s="52"/>
      <c r="S443" s="52"/>
      <c r="T443" s="52"/>
      <c r="U443" s="52"/>
      <c r="V443" s="180"/>
      <c r="W443" s="133"/>
    </row>
    <row r="444" spans="1:23" s="99" customFormat="1">
      <c r="A444" s="200" t="s">
        <v>679</v>
      </c>
      <c r="B444" s="52">
        <v>0</v>
      </c>
      <c r="C444" s="52">
        <v>0</v>
      </c>
      <c r="D444" s="52">
        <v>0</v>
      </c>
      <c r="E444" s="52">
        <v>0</v>
      </c>
      <c r="F444" s="52">
        <v>0</v>
      </c>
      <c r="G444" s="52">
        <v>0</v>
      </c>
      <c r="H444" s="52">
        <v>0</v>
      </c>
      <c r="I444" s="52">
        <v>0</v>
      </c>
      <c r="J444" s="52">
        <v>0</v>
      </c>
      <c r="K444" s="52">
        <v>0</v>
      </c>
      <c r="L444" s="52">
        <v>0</v>
      </c>
      <c r="M444" s="52">
        <v>0</v>
      </c>
      <c r="N444" s="52">
        <v>0</v>
      </c>
      <c r="O444" s="52">
        <v>0</v>
      </c>
      <c r="P444" s="52">
        <v>0</v>
      </c>
      <c r="Q444" s="52">
        <v>0</v>
      </c>
      <c r="R444" s="52">
        <v>0</v>
      </c>
      <c r="S444" s="52">
        <v>0</v>
      </c>
      <c r="T444" s="52">
        <v>0</v>
      </c>
      <c r="U444" s="52">
        <v>0</v>
      </c>
      <c r="V444" s="180">
        <f>SUM(B444:U444)</f>
        <v>0</v>
      </c>
      <c r="W444" s="133">
        <f>V444/20</f>
        <v>0</v>
      </c>
    </row>
    <row r="445" spans="1:23" s="20" customFormat="1">
      <c r="A445" s="200" t="s">
        <v>680</v>
      </c>
      <c r="B445" s="52">
        <f>('Scenario 2 Assumptions'!$B$279*('Scenario 2 Assumptions'!$B$354*0.5)/20)</f>
        <v>6.7500000000000004E-4</v>
      </c>
      <c r="C445" s="52">
        <f>('Scenario 2 Assumptions'!$B$279*('Scenario 2 Assumptions'!$B$354*0.5)/20)</f>
        <v>6.7500000000000004E-4</v>
      </c>
      <c r="D445" s="52">
        <f>('Scenario 2 Assumptions'!$B$279*('Scenario 2 Assumptions'!$B$354*0.5)/20)</f>
        <v>6.7500000000000004E-4</v>
      </c>
      <c r="E445" s="52">
        <f>('Scenario 2 Assumptions'!$B$279*('Scenario 2 Assumptions'!$B$354*0.5)/20)</f>
        <v>6.7500000000000004E-4</v>
      </c>
      <c r="F445" s="52">
        <f>('Scenario 2 Assumptions'!$B$279*('Scenario 2 Assumptions'!$B$354*0.5)/20)</f>
        <v>6.7500000000000004E-4</v>
      </c>
      <c r="G445" s="52">
        <f>('Scenario 2 Assumptions'!$B$279*('Scenario 2 Assumptions'!$B$354*0.5)/20)</f>
        <v>6.7500000000000004E-4</v>
      </c>
      <c r="H445" s="52">
        <f>('Scenario 2 Assumptions'!$B$279*('Scenario 2 Assumptions'!$B$354*0.5)/20)</f>
        <v>6.7500000000000004E-4</v>
      </c>
      <c r="I445" s="52">
        <f>('Scenario 2 Assumptions'!$B$279*('Scenario 2 Assumptions'!$B$354*0.5)/20)</f>
        <v>6.7500000000000004E-4</v>
      </c>
      <c r="J445" s="52">
        <f>('Scenario 2 Assumptions'!$B$279*('Scenario 2 Assumptions'!$B$354*0.5)/20)</f>
        <v>6.7500000000000004E-4</v>
      </c>
      <c r="K445" s="52">
        <f>('Scenario 2 Assumptions'!$B$279*('Scenario 2 Assumptions'!$B$354*0.5)/20)</f>
        <v>6.7500000000000004E-4</v>
      </c>
      <c r="L445" s="52">
        <f>('Scenario 2 Assumptions'!$B$279*('Scenario 2 Assumptions'!$B$354*0.5)/20)</f>
        <v>6.7500000000000004E-4</v>
      </c>
      <c r="M445" s="52">
        <f>('Scenario 2 Assumptions'!$B$279*('Scenario 2 Assumptions'!$B$354*0.5)/20)</f>
        <v>6.7500000000000004E-4</v>
      </c>
      <c r="N445" s="52">
        <f>('Scenario 2 Assumptions'!$B$279*('Scenario 2 Assumptions'!$B$354*0.5)/20)</f>
        <v>6.7500000000000004E-4</v>
      </c>
      <c r="O445" s="52">
        <f>('Scenario 2 Assumptions'!$B$279*('Scenario 2 Assumptions'!$B$354*0.5)/20)</f>
        <v>6.7500000000000004E-4</v>
      </c>
      <c r="P445" s="52">
        <f>('Scenario 2 Assumptions'!$B$279*('Scenario 2 Assumptions'!$B$354*0.5)/20)</f>
        <v>6.7500000000000004E-4</v>
      </c>
      <c r="Q445" s="52">
        <f>('Scenario 2 Assumptions'!$B$279*('Scenario 2 Assumptions'!$B$354*0.5)/20)</f>
        <v>6.7500000000000004E-4</v>
      </c>
      <c r="R445" s="52">
        <f>('Scenario 2 Assumptions'!$B$279*('Scenario 2 Assumptions'!$B$354*0.5)/20)</f>
        <v>6.7500000000000004E-4</v>
      </c>
      <c r="S445" s="52">
        <f>('Scenario 2 Assumptions'!$B$279*('Scenario 2 Assumptions'!$B$354*0.5)/20)</f>
        <v>6.7500000000000004E-4</v>
      </c>
      <c r="T445" s="52">
        <f>('Scenario 2 Assumptions'!$B$279*('Scenario 2 Assumptions'!$B$354*0.5)/20)</f>
        <v>6.7500000000000004E-4</v>
      </c>
      <c r="U445" s="52">
        <f>('Scenario 2 Assumptions'!$B$279*('Scenario 2 Assumptions'!$B$354*0.5)/20)</f>
        <v>6.7500000000000004E-4</v>
      </c>
      <c r="V445" s="180">
        <f t="shared" ref="V445:V446" si="329">SUM(B445:U445)</f>
        <v>1.3500000000000003E-2</v>
      </c>
      <c r="W445" s="133">
        <f t="shared" ref="W445:W446" si="330">V445/20</f>
        <v>6.7500000000000014E-4</v>
      </c>
    </row>
    <row r="446" spans="1:23" s="99" customFormat="1" ht="13.5" customHeight="1">
      <c r="A446" s="49" t="s">
        <v>664</v>
      </c>
      <c r="B446" s="34">
        <f>SUM(B444:B445)</f>
        <v>6.7500000000000004E-4</v>
      </c>
      <c r="C446" s="34">
        <f t="shared" ref="C446" si="331">SUM(C444:C445)</f>
        <v>6.7500000000000004E-4</v>
      </c>
      <c r="D446" s="34">
        <f t="shared" ref="D446" si="332">SUM(D444:D445)</f>
        <v>6.7500000000000004E-4</v>
      </c>
      <c r="E446" s="34">
        <f t="shared" ref="E446" si="333">SUM(E444:E445)</f>
        <v>6.7500000000000004E-4</v>
      </c>
      <c r="F446" s="34">
        <f t="shared" ref="F446" si="334">SUM(F444:F445)</f>
        <v>6.7500000000000004E-4</v>
      </c>
      <c r="G446" s="34">
        <f t="shared" ref="G446" si="335">SUM(G444:G445)</f>
        <v>6.7500000000000004E-4</v>
      </c>
      <c r="H446" s="34">
        <f t="shared" ref="H446" si="336">SUM(H444:H445)</f>
        <v>6.7500000000000004E-4</v>
      </c>
      <c r="I446" s="34">
        <f t="shared" ref="I446" si="337">SUM(I444:I445)</f>
        <v>6.7500000000000004E-4</v>
      </c>
      <c r="J446" s="34">
        <f t="shared" ref="J446" si="338">SUM(J444:J445)</f>
        <v>6.7500000000000004E-4</v>
      </c>
      <c r="K446" s="34">
        <f t="shared" ref="K446" si="339">SUM(K444:K445)</f>
        <v>6.7500000000000004E-4</v>
      </c>
      <c r="L446" s="34">
        <f t="shared" ref="L446" si="340">SUM(L444:L445)</f>
        <v>6.7500000000000004E-4</v>
      </c>
      <c r="M446" s="34">
        <f t="shared" ref="M446" si="341">SUM(M444:M445)</f>
        <v>6.7500000000000004E-4</v>
      </c>
      <c r="N446" s="34">
        <f t="shared" ref="N446" si="342">SUM(N444:N445)</f>
        <v>6.7500000000000004E-4</v>
      </c>
      <c r="O446" s="34">
        <f t="shared" ref="O446" si="343">SUM(O444:O445)</f>
        <v>6.7500000000000004E-4</v>
      </c>
      <c r="P446" s="34">
        <f t="shared" ref="P446" si="344">SUM(P444:P445)</f>
        <v>6.7500000000000004E-4</v>
      </c>
      <c r="Q446" s="34">
        <f t="shared" ref="Q446" si="345">SUM(Q444:Q445)</f>
        <v>6.7500000000000004E-4</v>
      </c>
      <c r="R446" s="34">
        <f t="shared" ref="R446" si="346">SUM(R444:R445)</f>
        <v>6.7500000000000004E-4</v>
      </c>
      <c r="S446" s="34">
        <f t="shared" ref="S446" si="347">SUM(S444:S445)</f>
        <v>6.7500000000000004E-4</v>
      </c>
      <c r="T446" s="34">
        <f t="shared" ref="T446" si="348">SUM(T444:T445)</f>
        <v>6.7500000000000004E-4</v>
      </c>
      <c r="U446" s="34">
        <f t="shared" ref="U446" si="349">SUM(U444:U445)</f>
        <v>6.7500000000000004E-4</v>
      </c>
      <c r="V446" s="180">
        <f t="shared" si="329"/>
        <v>1.3500000000000003E-2</v>
      </c>
      <c r="W446" s="133">
        <f t="shared" si="330"/>
        <v>6.7500000000000014E-4</v>
      </c>
    </row>
    <row r="447" spans="1:23" s="100" customFormat="1">
      <c r="A447" s="134" t="s">
        <v>123</v>
      </c>
      <c r="B447" s="52">
        <v>0.96618357487922713</v>
      </c>
      <c r="C447" s="52">
        <v>0.93351070036640305</v>
      </c>
      <c r="D447" s="52">
        <v>0.90194270566802237</v>
      </c>
      <c r="E447" s="52">
        <v>0.87144222769857238</v>
      </c>
      <c r="F447" s="52">
        <v>0.84197316685852419</v>
      </c>
      <c r="G447" s="52">
        <v>0.81350064430775282</v>
      </c>
      <c r="H447" s="52">
        <v>0.78599096068381913</v>
      </c>
      <c r="I447" s="52">
        <v>0.75941155621625056</v>
      </c>
      <c r="J447" s="52">
        <v>0.73373097218961414</v>
      </c>
      <c r="K447" s="52">
        <v>0.70891881370977217</v>
      </c>
      <c r="L447" s="52">
        <v>0.68494571372924851</v>
      </c>
      <c r="M447" s="52">
        <v>0.66178329828912896</v>
      </c>
      <c r="N447" s="52">
        <v>0.63940415293635666</v>
      </c>
      <c r="O447" s="52">
        <v>0.61778179027667302</v>
      </c>
      <c r="P447" s="52">
        <v>0.59689061862480497</v>
      </c>
      <c r="Q447" s="52">
        <v>0.57670591171478747</v>
      </c>
      <c r="R447" s="52">
        <v>0.55720377943457733</v>
      </c>
      <c r="S447" s="52">
        <v>0.53836113955031628</v>
      </c>
      <c r="T447" s="52">
        <v>0.52015569038677911</v>
      </c>
      <c r="U447" s="52">
        <v>0.50256588443167061</v>
      </c>
      <c r="V447" s="180"/>
      <c r="W447" s="133"/>
    </row>
    <row r="448" spans="1:23" s="99" customFormat="1">
      <c r="A448" s="50" t="s">
        <v>1069</v>
      </c>
      <c r="B448" s="34">
        <f t="shared" ref="B448:U448" si="350">B447*B446</f>
        <v>6.5217391304347831E-4</v>
      </c>
      <c r="C448" s="34">
        <f t="shared" si="350"/>
        <v>6.3011972274732212E-4</v>
      </c>
      <c r="D448" s="34">
        <f t="shared" si="350"/>
        <v>6.0881132632591508E-4</v>
      </c>
      <c r="E448" s="34">
        <f t="shared" si="350"/>
        <v>5.8822350369653643E-4</v>
      </c>
      <c r="F448" s="34">
        <f t="shared" si="350"/>
        <v>5.6833188762950391E-4</v>
      </c>
      <c r="G448" s="34">
        <f t="shared" si="350"/>
        <v>5.4911293490773319E-4</v>
      </c>
      <c r="H448" s="34">
        <f t="shared" si="350"/>
        <v>5.3054389846157789E-4</v>
      </c>
      <c r="I448" s="34">
        <f t="shared" si="350"/>
        <v>5.1260280044596919E-4</v>
      </c>
      <c r="J448" s="34">
        <f t="shared" si="350"/>
        <v>4.952684062279896E-4</v>
      </c>
      <c r="K448" s="34">
        <f t="shared" si="350"/>
        <v>4.7852019925409626E-4</v>
      </c>
      <c r="L448" s="34">
        <f t="shared" si="350"/>
        <v>4.6233835676724277E-4</v>
      </c>
      <c r="M448" s="34">
        <f t="shared" si="350"/>
        <v>4.4670372634516209E-4</v>
      </c>
      <c r="N448" s="34">
        <f t="shared" si="350"/>
        <v>4.3159780323204076E-4</v>
      </c>
      <c r="O448" s="34">
        <f t="shared" si="350"/>
        <v>4.1700270843675433E-4</v>
      </c>
      <c r="P448" s="34">
        <f t="shared" si="350"/>
        <v>4.0290116757174337E-4</v>
      </c>
      <c r="Q448" s="34">
        <f t="shared" si="350"/>
        <v>3.8927649040748158E-4</v>
      </c>
      <c r="R448" s="34">
        <f t="shared" si="350"/>
        <v>3.7611255111833972E-4</v>
      </c>
      <c r="S448" s="34">
        <f t="shared" si="350"/>
        <v>3.6339376919646352E-4</v>
      </c>
      <c r="T448" s="34">
        <f t="shared" si="350"/>
        <v>3.5110509101107589E-4</v>
      </c>
      <c r="U448" s="34">
        <f t="shared" si="350"/>
        <v>3.3923197199137769E-4</v>
      </c>
      <c r="V448" s="182">
        <f>SUM(B448:U448)</f>
        <v>9.5933722288178043E-3</v>
      </c>
      <c r="W448" s="35"/>
    </row>
    <row r="449" spans="1:23" s="99" customFormat="1">
      <c r="A449" s="48"/>
      <c r="B449" s="52"/>
      <c r="C449" s="52"/>
      <c r="D449" s="52"/>
      <c r="E449" s="52"/>
      <c r="F449" s="52"/>
      <c r="G449" s="52"/>
      <c r="H449" s="52"/>
      <c r="I449" s="52"/>
      <c r="J449" s="52"/>
      <c r="K449" s="52"/>
      <c r="L449" s="52"/>
      <c r="M449" s="52"/>
      <c r="N449" s="52"/>
      <c r="O449" s="52"/>
      <c r="P449" s="52"/>
      <c r="Q449" s="52"/>
      <c r="R449" s="52"/>
      <c r="S449" s="52"/>
      <c r="T449" s="52"/>
      <c r="U449" s="52"/>
      <c r="V449" s="180"/>
      <c r="W449" s="133"/>
    </row>
    <row r="450" spans="1:23" s="99" customFormat="1">
      <c r="A450" s="135" t="s">
        <v>1201</v>
      </c>
      <c r="B450" s="52"/>
      <c r="C450" s="52"/>
      <c r="D450" s="52"/>
      <c r="E450" s="52"/>
      <c r="F450" s="52"/>
      <c r="G450" s="52"/>
      <c r="H450" s="52"/>
      <c r="I450" s="52"/>
      <c r="J450" s="52"/>
      <c r="K450" s="52"/>
      <c r="L450" s="52"/>
      <c r="M450" s="52"/>
      <c r="N450" s="52"/>
      <c r="O450" s="52"/>
      <c r="P450" s="52"/>
      <c r="Q450" s="52"/>
      <c r="R450" s="52"/>
      <c r="S450" s="52"/>
      <c r="T450" s="52"/>
      <c r="U450" s="52"/>
      <c r="V450" s="180"/>
      <c r="W450" s="133"/>
    </row>
    <row r="451" spans="1:23" s="99" customFormat="1">
      <c r="A451" s="200" t="s">
        <v>679</v>
      </c>
      <c r="B451" s="52">
        <v>0</v>
      </c>
      <c r="C451" s="52">
        <v>0</v>
      </c>
      <c r="D451" s="52">
        <v>0</v>
      </c>
      <c r="E451" s="52">
        <v>0</v>
      </c>
      <c r="F451" s="52">
        <v>0</v>
      </c>
      <c r="G451" s="52">
        <v>0</v>
      </c>
      <c r="H451" s="52">
        <v>0</v>
      </c>
      <c r="I451" s="52">
        <v>0</v>
      </c>
      <c r="J451" s="52">
        <v>0</v>
      </c>
      <c r="K451" s="52">
        <v>0</v>
      </c>
      <c r="L451" s="52">
        <v>0</v>
      </c>
      <c r="M451" s="52">
        <v>0</v>
      </c>
      <c r="N451" s="52">
        <v>0</v>
      </c>
      <c r="O451" s="52">
        <v>0</v>
      </c>
      <c r="P451" s="52">
        <v>0</v>
      </c>
      <c r="Q451" s="52">
        <v>0</v>
      </c>
      <c r="R451" s="52">
        <v>0</v>
      </c>
      <c r="S451" s="52">
        <v>0</v>
      </c>
      <c r="T451" s="52">
        <v>0</v>
      </c>
      <c r="U451" s="52">
        <v>0</v>
      </c>
      <c r="V451" s="180">
        <f>SUM(B451:U451)</f>
        <v>0</v>
      </c>
      <c r="W451" s="133">
        <f>V451/20</f>
        <v>0</v>
      </c>
    </row>
    <row r="452" spans="1:23" s="20" customFormat="1">
      <c r="A452" s="200" t="s">
        <v>680</v>
      </c>
      <c r="B452" s="52">
        <f>('Scenario 2 Assumptions'!$B$279*('Scenario 2 Assumptions'!$B$355*0.5)/20)+B39</f>
        <v>1.0124999999999999E-3</v>
      </c>
      <c r="C452" s="52">
        <f>('Scenario 2 Assumptions'!$B$279*('Scenario 2 Assumptions'!$B$355*0.5)/20)+C39</f>
        <v>1.0124999999999999E-3</v>
      </c>
      <c r="D452" s="52">
        <f>('Scenario 2 Assumptions'!$B$279*('Scenario 2 Assumptions'!$B$355*0.5)/20)+D39</f>
        <v>1.0124999999999999E-3</v>
      </c>
      <c r="E452" s="52">
        <f>('Scenario 2 Assumptions'!$B$279*('Scenario 2 Assumptions'!$B$355*0.5)/20)+E39</f>
        <v>1.0124999999999999E-3</v>
      </c>
      <c r="F452" s="52">
        <f>('Scenario 2 Assumptions'!$B$279*('Scenario 2 Assumptions'!$B$355*0.5)/20)+F39</f>
        <v>1.0124999999999999E-3</v>
      </c>
      <c r="G452" s="52">
        <f>('Scenario 2 Assumptions'!$B$279*('Scenario 2 Assumptions'!$B$355*0.5)/20)+G39</f>
        <v>1.0124999999999999E-3</v>
      </c>
      <c r="H452" s="52">
        <f>('Scenario 2 Assumptions'!$B$279*('Scenario 2 Assumptions'!$B$355*0.5)/20)+H39</f>
        <v>1.0124999999999999E-3</v>
      </c>
      <c r="I452" s="52">
        <f>('Scenario 2 Assumptions'!$B$279*('Scenario 2 Assumptions'!$B$355*0.5)/20)+I39</f>
        <v>1.0124999999999999E-3</v>
      </c>
      <c r="J452" s="52">
        <f>('Scenario 2 Assumptions'!$B$279*('Scenario 2 Assumptions'!$B$355*0.5)/20)+J39</f>
        <v>1.0124999999999999E-3</v>
      </c>
      <c r="K452" s="52">
        <f>('Scenario 2 Assumptions'!$B$279*('Scenario 2 Assumptions'!$B$355*0.5)/20)+K39</f>
        <v>1.0124999999999999E-3</v>
      </c>
      <c r="L452" s="52">
        <f>('Scenario 2 Assumptions'!$B$279*('Scenario 2 Assumptions'!$B$355*0.5)/20)+L39</f>
        <v>1.0124999999999999E-3</v>
      </c>
      <c r="M452" s="52">
        <f>('Scenario 2 Assumptions'!$B$279*('Scenario 2 Assumptions'!$B$355*0.5)/20)+M39</f>
        <v>1.0124999999999999E-3</v>
      </c>
      <c r="N452" s="52">
        <f>('Scenario 2 Assumptions'!$B$279*('Scenario 2 Assumptions'!$B$355*0.5)/20)+N39</f>
        <v>1.0124999999999999E-3</v>
      </c>
      <c r="O452" s="52">
        <f>('Scenario 2 Assumptions'!$B$279*('Scenario 2 Assumptions'!$B$355*0.5)/20)+O39</f>
        <v>1.0124999999999999E-3</v>
      </c>
      <c r="P452" s="52">
        <f>('Scenario 2 Assumptions'!$B$279*('Scenario 2 Assumptions'!$B$355*0.5)/20)+P39</f>
        <v>1.0124999999999999E-3</v>
      </c>
      <c r="Q452" s="52">
        <f>('Scenario 2 Assumptions'!$B$279*('Scenario 2 Assumptions'!$B$355*0.5)/20)+Q39</f>
        <v>1.0124999999999999E-3</v>
      </c>
      <c r="R452" s="52">
        <f>('Scenario 2 Assumptions'!$B$279*('Scenario 2 Assumptions'!$B$355*0.5)/20)+R39</f>
        <v>1.0124999999999999E-3</v>
      </c>
      <c r="S452" s="52">
        <f>('Scenario 2 Assumptions'!$B$279*('Scenario 2 Assumptions'!$B$355*0.5)/20)+S39</f>
        <v>1.0124999999999999E-3</v>
      </c>
      <c r="T452" s="52">
        <f>('Scenario 2 Assumptions'!$B$279*('Scenario 2 Assumptions'!$B$355*0.5)/20)+T39</f>
        <v>1.0124999999999999E-3</v>
      </c>
      <c r="U452" s="52">
        <f>('Scenario 2 Assumptions'!$B$279*('Scenario 2 Assumptions'!$B$355*0.5)/20)+U39</f>
        <v>1.0124999999999999E-3</v>
      </c>
      <c r="V452" s="180">
        <f t="shared" ref="V452:V453" si="351">SUM(B452:U452)</f>
        <v>2.0249999999999994E-2</v>
      </c>
      <c r="W452" s="133">
        <f t="shared" ref="W452:W453" si="352">V452/20</f>
        <v>1.0124999999999997E-3</v>
      </c>
    </row>
    <row r="453" spans="1:23" s="99" customFormat="1" ht="13.5" customHeight="1">
      <c r="A453" s="49" t="s">
        <v>664</v>
      </c>
      <c r="B453" s="34">
        <f>SUM(B451:B452)</f>
        <v>1.0124999999999999E-3</v>
      </c>
      <c r="C453" s="34">
        <f t="shared" ref="C453" si="353">SUM(C451:C452)</f>
        <v>1.0124999999999999E-3</v>
      </c>
      <c r="D453" s="34">
        <f t="shared" ref="D453" si="354">SUM(D451:D452)</f>
        <v>1.0124999999999999E-3</v>
      </c>
      <c r="E453" s="34">
        <f t="shared" ref="E453" si="355">SUM(E451:E452)</f>
        <v>1.0124999999999999E-3</v>
      </c>
      <c r="F453" s="34">
        <f t="shared" ref="F453" si="356">SUM(F451:F452)</f>
        <v>1.0124999999999999E-3</v>
      </c>
      <c r="G453" s="34">
        <f t="shared" ref="G453" si="357">SUM(G451:G452)</f>
        <v>1.0124999999999999E-3</v>
      </c>
      <c r="H453" s="34">
        <f t="shared" ref="H453" si="358">SUM(H451:H452)</f>
        <v>1.0124999999999999E-3</v>
      </c>
      <c r="I453" s="34">
        <f t="shared" ref="I453" si="359">SUM(I451:I452)</f>
        <v>1.0124999999999999E-3</v>
      </c>
      <c r="J453" s="34">
        <f t="shared" ref="J453" si="360">SUM(J451:J452)</f>
        <v>1.0124999999999999E-3</v>
      </c>
      <c r="K453" s="34">
        <f t="shared" ref="K453" si="361">SUM(K451:K452)</f>
        <v>1.0124999999999999E-3</v>
      </c>
      <c r="L453" s="34">
        <f t="shared" ref="L453" si="362">SUM(L451:L452)</f>
        <v>1.0124999999999999E-3</v>
      </c>
      <c r="M453" s="34">
        <f t="shared" ref="M453" si="363">SUM(M451:M452)</f>
        <v>1.0124999999999999E-3</v>
      </c>
      <c r="N453" s="34">
        <f t="shared" ref="N453" si="364">SUM(N451:N452)</f>
        <v>1.0124999999999999E-3</v>
      </c>
      <c r="O453" s="34">
        <f t="shared" ref="O453" si="365">SUM(O451:O452)</f>
        <v>1.0124999999999999E-3</v>
      </c>
      <c r="P453" s="34">
        <f t="shared" ref="P453" si="366">SUM(P451:P452)</f>
        <v>1.0124999999999999E-3</v>
      </c>
      <c r="Q453" s="34">
        <f t="shared" ref="Q453" si="367">SUM(Q451:Q452)</f>
        <v>1.0124999999999999E-3</v>
      </c>
      <c r="R453" s="34">
        <f t="shared" ref="R453" si="368">SUM(R451:R452)</f>
        <v>1.0124999999999999E-3</v>
      </c>
      <c r="S453" s="34">
        <f t="shared" ref="S453" si="369">SUM(S451:S452)</f>
        <v>1.0124999999999999E-3</v>
      </c>
      <c r="T453" s="34">
        <f t="shared" ref="T453" si="370">SUM(T451:T452)</f>
        <v>1.0124999999999999E-3</v>
      </c>
      <c r="U453" s="34">
        <f t="shared" ref="U453" si="371">SUM(U451:U452)</f>
        <v>1.0124999999999999E-3</v>
      </c>
      <c r="V453" s="180">
        <f t="shared" si="351"/>
        <v>2.0249999999999994E-2</v>
      </c>
      <c r="W453" s="133">
        <f t="shared" si="352"/>
        <v>1.0124999999999997E-3</v>
      </c>
    </row>
    <row r="454" spans="1:23" s="100" customFormat="1">
      <c r="A454" s="134" t="s">
        <v>123</v>
      </c>
      <c r="B454" s="52">
        <v>0.96618357487922713</v>
      </c>
      <c r="C454" s="52">
        <v>0.93351070036640305</v>
      </c>
      <c r="D454" s="52">
        <v>0.90194270566802237</v>
      </c>
      <c r="E454" s="52">
        <v>0.87144222769857238</v>
      </c>
      <c r="F454" s="52">
        <v>0.84197316685852419</v>
      </c>
      <c r="G454" s="52">
        <v>0.81350064430775282</v>
      </c>
      <c r="H454" s="52">
        <v>0.78599096068381913</v>
      </c>
      <c r="I454" s="52">
        <v>0.75941155621625056</v>
      </c>
      <c r="J454" s="52">
        <v>0.73373097218961414</v>
      </c>
      <c r="K454" s="52">
        <v>0.70891881370977217</v>
      </c>
      <c r="L454" s="52">
        <v>0.68494571372924851</v>
      </c>
      <c r="M454" s="52">
        <v>0.66178329828912896</v>
      </c>
      <c r="N454" s="52">
        <v>0.63940415293635666</v>
      </c>
      <c r="O454" s="52">
        <v>0.61778179027667302</v>
      </c>
      <c r="P454" s="52">
        <v>0.59689061862480497</v>
      </c>
      <c r="Q454" s="52">
        <v>0.57670591171478747</v>
      </c>
      <c r="R454" s="52">
        <v>0.55720377943457733</v>
      </c>
      <c r="S454" s="52">
        <v>0.53836113955031628</v>
      </c>
      <c r="T454" s="52">
        <v>0.52015569038677911</v>
      </c>
      <c r="U454" s="52">
        <v>0.50256588443167061</v>
      </c>
      <c r="V454" s="180"/>
      <c r="W454" s="133"/>
    </row>
    <row r="455" spans="1:23" s="99" customFormat="1">
      <c r="A455" s="50" t="s">
        <v>1069</v>
      </c>
      <c r="B455" s="34">
        <f t="shared" ref="B455:U455" si="372">B454*B453</f>
        <v>9.7826086956521747E-4</v>
      </c>
      <c r="C455" s="34">
        <f t="shared" si="372"/>
        <v>9.4517958412098301E-4</v>
      </c>
      <c r="D455" s="34">
        <f t="shared" si="372"/>
        <v>9.1321698948887257E-4</v>
      </c>
      <c r="E455" s="34">
        <f t="shared" si="372"/>
        <v>8.8233525554480443E-4</v>
      </c>
      <c r="F455" s="34">
        <f t="shared" si="372"/>
        <v>8.524978314442557E-4</v>
      </c>
      <c r="G455" s="34">
        <f t="shared" si="372"/>
        <v>8.2366940236159973E-4</v>
      </c>
      <c r="H455" s="34">
        <f t="shared" si="372"/>
        <v>7.9581584769236678E-4</v>
      </c>
      <c r="I455" s="34">
        <f t="shared" si="372"/>
        <v>7.6890420066895362E-4</v>
      </c>
      <c r="J455" s="34">
        <f t="shared" si="372"/>
        <v>7.4290260934198424E-4</v>
      </c>
      <c r="K455" s="34">
        <f t="shared" si="372"/>
        <v>7.1778029888114423E-4</v>
      </c>
      <c r="L455" s="34">
        <f t="shared" si="372"/>
        <v>6.9350753515086405E-4</v>
      </c>
      <c r="M455" s="34">
        <f t="shared" si="372"/>
        <v>6.7005558951774302E-4</v>
      </c>
      <c r="N455" s="34">
        <f t="shared" si="372"/>
        <v>6.4739670484806105E-4</v>
      </c>
      <c r="O455" s="34">
        <f t="shared" si="372"/>
        <v>6.2550406265513144E-4</v>
      </c>
      <c r="P455" s="34">
        <f t="shared" si="372"/>
        <v>6.0435175135761495E-4</v>
      </c>
      <c r="Q455" s="34">
        <f t="shared" si="372"/>
        <v>5.8391473561122227E-4</v>
      </c>
      <c r="R455" s="34">
        <f t="shared" si="372"/>
        <v>5.6416882667750952E-4</v>
      </c>
      <c r="S455" s="34">
        <f t="shared" si="372"/>
        <v>5.4509065379469517E-4</v>
      </c>
      <c r="T455" s="34">
        <f t="shared" si="372"/>
        <v>5.2665763651661387E-4</v>
      </c>
      <c r="U455" s="34">
        <f t="shared" si="372"/>
        <v>5.0884795798706651E-4</v>
      </c>
      <c r="V455" s="182">
        <f>SUM(B455:U455)</f>
        <v>1.4390058343226703E-2</v>
      </c>
      <c r="W455" s="35"/>
    </row>
    <row r="456" spans="1:23" s="99" customFormat="1">
      <c r="A456" s="48"/>
      <c r="B456" s="52"/>
      <c r="C456" s="52"/>
      <c r="D456" s="52"/>
      <c r="E456" s="52"/>
      <c r="F456" s="52"/>
      <c r="G456" s="52"/>
      <c r="H456" s="52"/>
      <c r="I456" s="52"/>
      <c r="J456" s="52"/>
      <c r="K456" s="52"/>
      <c r="L456" s="52"/>
      <c r="M456" s="52"/>
      <c r="N456" s="52"/>
      <c r="O456" s="52"/>
      <c r="P456" s="52"/>
      <c r="Q456" s="52"/>
      <c r="R456" s="52"/>
      <c r="S456" s="52"/>
      <c r="T456" s="52"/>
      <c r="U456" s="52"/>
      <c r="V456" s="180"/>
      <c r="W456" s="133"/>
    </row>
    <row r="457" spans="1:23" s="99" customFormat="1">
      <c r="A457" s="135" t="s">
        <v>1243</v>
      </c>
      <c r="B457" s="52"/>
      <c r="C457" s="52"/>
      <c r="D457" s="52"/>
      <c r="E457" s="52"/>
      <c r="F457" s="52"/>
      <c r="G457" s="52"/>
      <c r="H457" s="52"/>
      <c r="I457" s="52"/>
      <c r="J457" s="52"/>
      <c r="K457" s="52"/>
      <c r="L457" s="52"/>
      <c r="M457" s="52"/>
      <c r="N457" s="52"/>
      <c r="O457" s="52"/>
      <c r="P457" s="52"/>
      <c r="Q457" s="52"/>
      <c r="R457" s="52"/>
      <c r="S457" s="52"/>
      <c r="T457" s="52"/>
      <c r="U457" s="52"/>
      <c r="V457" s="180"/>
      <c r="W457" s="133"/>
    </row>
    <row r="458" spans="1:23" s="99" customFormat="1">
      <c r="A458" s="200" t="s">
        <v>679</v>
      </c>
      <c r="B458" s="52">
        <v>0</v>
      </c>
      <c r="C458" s="52">
        <v>0</v>
      </c>
      <c r="D458" s="52">
        <v>0</v>
      </c>
      <c r="E458" s="52">
        <v>0</v>
      </c>
      <c r="F458" s="52">
        <v>0</v>
      </c>
      <c r="G458" s="52">
        <v>0</v>
      </c>
      <c r="H458" s="52">
        <v>0</v>
      </c>
      <c r="I458" s="52">
        <v>0</v>
      </c>
      <c r="J458" s="52">
        <v>0</v>
      </c>
      <c r="K458" s="52">
        <v>0</v>
      </c>
      <c r="L458" s="52">
        <v>0</v>
      </c>
      <c r="M458" s="52">
        <v>0</v>
      </c>
      <c r="N458" s="52">
        <v>0</v>
      </c>
      <c r="O458" s="52">
        <v>0</v>
      </c>
      <c r="P458" s="52">
        <v>0</v>
      </c>
      <c r="Q458" s="52">
        <v>0</v>
      </c>
      <c r="R458" s="52">
        <v>0</v>
      </c>
      <c r="S458" s="52">
        <v>0</v>
      </c>
      <c r="T458" s="52">
        <v>0</v>
      </c>
      <c r="U458" s="52">
        <v>0</v>
      </c>
      <c r="V458" s="180">
        <f>SUM(B458:U458)</f>
        <v>0</v>
      </c>
      <c r="W458" s="133">
        <f>V458/20</f>
        <v>0</v>
      </c>
    </row>
    <row r="459" spans="1:23" s="20" customFormat="1">
      <c r="A459" s="200" t="s">
        <v>680</v>
      </c>
      <c r="B459" s="52">
        <f>('Scenario 2 Assumptions'!$B$279*('Scenario 2 Assumptions'!$B$356*0.5)/20)+B36</f>
        <v>3.3750000000000002E-4</v>
      </c>
      <c r="C459" s="52">
        <f>('Scenario 2 Assumptions'!$B$279*('Scenario 2 Assumptions'!$B$356*0.5)/20)+C36</f>
        <v>3.3750000000000002E-4</v>
      </c>
      <c r="D459" s="52">
        <f>('Scenario 2 Assumptions'!$B$279*('Scenario 2 Assumptions'!$B$356*0.5)/20)+D36</f>
        <v>3.3750000000000002E-4</v>
      </c>
      <c r="E459" s="52">
        <f>('Scenario 2 Assumptions'!$B$279*('Scenario 2 Assumptions'!$B$356*0.5)/20)+E36</f>
        <v>3.3750000000000002E-4</v>
      </c>
      <c r="F459" s="52">
        <f>('Scenario 2 Assumptions'!$B$279*('Scenario 2 Assumptions'!$B$356*0.5)/20)+F36</f>
        <v>3.3750000000000002E-4</v>
      </c>
      <c r="G459" s="52">
        <f>('Scenario 2 Assumptions'!$B$279*('Scenario 2 Assumptions'!$B$356*0.5)/20)+G36</f>
        <v>3.3750000000000002E-4</v>
      </c>
      <c r="H459" s="52">
        <f>('Scenario 2 Assumptions'!$B$279*('Scenario 2 Assumptions'!$B$356*0.5)/20)+H36</f>
        <v>3.3750000000000002E-4</v>
      </c>
      <c r="I459" s="52">
        <f>('Scenario 2 Assumptions'!$B$279*('Scenario 2 Assumptions'!$B$356*0.5)/20)+I36</f>
        <v>3.3750000000000002E-4</v>
      </c>
      <c r="J459" s="52">
        <f>('Scenario 2 Assumptions'!$B$279*('Scenario 2 Assumptions'!$B$356*0.5)/20)+J36</f>
        <v>3.3750000000000002E-4</v>
      </c>
      <c r="K459" s="52">
        <f>('Scenario 2 Assumptions'!$B$279*('Scenario 2 Assumptions'!$B$356*0.5)/20)+K36</f>
        <v>3.3750000000000002E-4</v>
      </c>
      <c r="L459" s="52">
        <f>('Scenario 2 Assumptions'!$B$279*('Scenario 2 Assumptions'!$B$356*0.5)/20)+L36</f>
        <v>3.3750000000000002E-4</v>
      </c>
      <c r="M459" s="52">
        <f>('Scenario 2 Assumptions'!$B$279*('Scenario 2 Assumptions'!$B$356*0.5)/20)+M36</f>
        <v>3.3750000000000002E-4</v>
      </c>
      <c r="N459" s="52">
        <f>('Scenario 2 Assumptions'!$B$279*('Scenario 2 Assumptions'!$B$356*0.5)/20)+N36</f>
        <v>3.3750000000000002E-4</v>
      </c>
      <c r="O459" s="52">
        <f>('Scenario 2 Assumptions'!$B$279*('Scenario 2 Assumptions'!$B$356*0.5)/20)+O36</f>
        <v>3.3750000000000002E-4</v>
      </c>
      <c r="P459" s="52">
        <f>('Scenario 2 Assumptions'!$B$279*('Scenario 2 Assumptions'!$B$356*0.5)/20)+P36</f>
        <v>3.3750000000000002E-4</v>
      </c>
      <c r="Q459" s="52">
        <f>('Scenario 2 Assumptions'!$B$279*('Scenario 2 Assumptions'!$B$356*0.5)/20)+Q36</f>
        <v>3.3750000000000002E-4</v>
      </c>
      <c r="R459" s="52">
        <f>('Scenario 2 Assumptions'!$B$279*('Scenario 2 Assumptions'!$B$356*0.5)/20)+R36</f>
        <v>3.3750000000000002E-4</v>
      </c>
      <c r="S459" s="52">
        <f>('Scenario 2 Assumptions'!$B$279*('Scenario 2 Assumptions'!$B$356*0.5)/20)+S36</f>
        <v>3.3750000000000002E-4</v>
      </c>
      <c r="T459" s="52">
        <f>('Scenario 2 Assumptions'!$B$279*('Scenario 2 Assumptions'!$B$356*0.5)/20)+T36</f>
        <v>3.3750000000000002E-4</v>
      </c>
      <c r="U459" s="52">
        <f>('Scenario 2 Assumptions'!$B$279*('Scenario 2 Assumptions'!$B$356*0.5)/20)+U36</f>
        <v>3.3750000000000002E-4</v>
      </c>
      <c r="V459" s="180">
        <f t="shared" ref="V459:V460" si="373">SUM(B459:U459)</f>
        <v>6.7500000000000017E-3</v>
      </c>
      <c r="W459" s="133">
        <f t="shared" ref="W459:W460" si="374">V459/20</f>
        <v>3.3750000000000007E-4</v>
      </c>
    </row>
    <row r="460" spans="1:23" s="99" customFormat="1" ht="13.5" customHeight="1">
      <c r="A460" s="49" t="s">
        <v>664</v>
      </c>
      <c r="B460" s="34">
        <f>SUM(B458:B459)</f>
        <v>3.3750000000000002E-4</v>
      </c>
      <c r="C460" s="34">
        <f t="shared" ref="C460" si="375">SUM(C458:C459)</f>
        <v>3.3750000000000002E-4</v>
      </c>
      <c r="D460" s="34">
        <f t="shared" ref="D460" si="376">SUM(D458:D459)</f>
        <v>3.3750000000000002E-4</v>
      </c>
      <c r="E460" s="34">
        <f t="shared" ref="E460" si="377">SUM(E458:E459)</f>
        <v>3.3750000000000002E-4</v>
      </c>
      <c r="F460" s="34">
        <f t="shared" ref="F460" si="378">SUM(F458:F459)</f>
        <v>3.3750000000000002E-4</v>
      </c>
      <c r="G460" s="34">
        <f t="shared" ref="G460" si="379">SUM(G458:G459)</f>
        <v>3.3750000000000002E-4</v>
      </c>
      <c r="H460" s="34">
        <f t="shared" ref="H460" si="380">SUM(H458:H459)</f>
        <v>3.3750000000000002E-4</v>
      </c>
      <c r="I460" s="34">
        <f t="shared" ref="I460" si="381">SUM(I458:I459)</f>
        <v>3.3750000000000002E-4</v>
      </c>
      <c r="J460" s="34">
        <f t="shared" ref="J460" si="382">SUM(J458:J459)</f>
        <v>3.3750000000000002E-4</v>
      </c>
      <c r="K460" s="34">
        <f t="shared" ref="K460" si="383">SUM(K458:K459)</f>
        <v>3.3750000000000002E-4</v>
      </c>
      <c r="L460" s="34">
        <f t="shared" ref="L460" si="384">SUM(L458:L459)</f>
        <v>3.3750000000000002E-4</v>
      </c>
      <c r="M460" s="34">
        <f t="shared" ref="M460" si="385">SUM(M458:M459)</f>
        <v>3.3750000000000002E-4</v>
      </c>
      <c r="N460" s="34">
        <f t="shared" ref="N460" si="386">SUM(N458:N459)</f>
        <v>3.3750000000000002E-4</v>
      </c>
      <c r="O460" s="34">
        <f t="shared" ref="O460" si="387">SUM(O458:O459)</f>
        <v>3.3750000000000002E-4</v>
      </c>
      <c r="P460" s="34">
        <f t="shared" ref="P460" si="388">SUM(P458:P459)</f>
        <v>3.3750000000000002E-4</v>
      </c>
      <c r="Q460" s="34">
        <f t="shared" ref="Q460" si="389">SUM(Q458:Q459)</f>
        <v>3.3750000000000002E-4</v>
      </c>
      <c r="R460" s="34">
        <f t="shared" ref="R460" si="390">SUM(R458:R459)</f>
        <v>3.3750000000000002E-4</v>
      </c>
      <c r="S460" s="34">
        <f t="shared" ref="S460" si="391">SUM(S458:S459)</f>
        <v>3.3750000000000002E-4</v>
      </c>
      <c r="T460" s="34">
        <f t="shared" ref="T460" si="392">SUM(T458:T459)</f>
        <v>3.3750000000000002E-4</v>
      </c>
      <c r="U460" s="34">
        <f t="shared" ref="U460" si="393">SUM(U458:U459)</f>
        <v>3.3750000000000002E-4</v>
      </c>
      <c r="V460" s="180">
        <f t="shared" si="373"/>
        <v>6.7500000000000017E-3</v>
      </c>
      <c r="W460" s="133">
        <f t="shared" si="374"/>
        <v>3.3750000000000007E-4</v>
      </c>
    </row>
    <row r="461" spans="1:23" s="100" customFormat="1">
      <c r="A461" s="134" t="s">
        <v>123</v>
      </c>
      <c r="B461" s="52">
        <v>0.96618357487922713</v>
      </c>
      <c r="C461" s="52">
        <v>0.93351070036640305</v>
      </c>
      <c r="D461" s="52">
        <v>0.90194270566802237</v>
      </c>
      <c r="E461" s="52">
        <v>0.87144222769857238</v>
      </c>
      <c r="F461" s="52">
        <v>0.84197316685852419</v>
      </c>
      <c r="G461" s="52">
        <v>0.81350064430775282</v>
      </c>
      <c r="H461" s="52">
        <v>0.78599096068381913</v>
      </c>
      <c r="I461" s="52">
        <v>0.75941155621625056</v>
      </c>
      <c r="J461" s="52">
        <v>0.73373097218961414</v>
      </c>
      <c r="K461" s="52">
        <v>0.70891881370977217</v>
      </c>
      <c r="L461" s="52">
        <v>0.68494571372924851</v>
      </c>
      <c r="M461" s="52">
        <v>0.66178329828912896</v>
      </c>
      <c r="N461" s="52">
        <v>0.63940415293635666</v>
      </c>
      <c r="O461" s="52">
        <v>0.61778179027667302</v>
      </c>
      <c r="P461" s="52">
        <v>0.59689061862480497</v>
      </c>
      <c r="Q461" s="52">
        <v>0.57670591171478747</v>
      </c>
      <c r="R461" s="52">
        <v>0.55720377943457733</v>
      </c>
      <c r="S461" s="52">
        <v>0.53836113955031628</v>
      </c>
      <c r="T461" s="52">
        <v>0.52015569038677911</v>
      </c>
      <c r="U461" s="52">
        <v>0.50256588443167061</v>
      </c>
      <c r="V461" s="180"/>
      <c r="W461" s="133"/>
    </row>
    <row r="462" spans="1:23" s="99" customFormat="1">
      <c r="A462" s="50" t="s">
        <v>1069</v>
      </c>
      <c r="B462" s="34">
        <f t="shared" ref="B462:U462" si="394">B461*B460</f>
        <v>3.2608695652173916E-4</v>
      </c>
      <c r="C462" s="34">
        <f t="shared" si="394"/>
        <v>3.1505986137366106E-4</v>
      </c>
      <c r="D462" s="34">
        <f t="shared" si="394"/>
        <v>3.0440566316295754E-4</v>
      </c>
      <c r="E462" s="34">
        <f t="shared" si="394"/>
        <v>2.9411175184826822E-4</v>
      </c>
      <c r="F462" s="34">
        <f t="shared" si="394"/>
        <v>2.8416594381475195E-4</v>
      </c>
      <c r="G462" s="34">
        <f t="shared" si="394"/>
        <v>2.745564674538666E-4</v>
      </c>
      <c r="H462" s="34">
        <f t="shared" si="394"/>
        <v>2.6527194923078894E-4</v>
      </c>
      <c r="I462" s="34">
        <f t="shared" si="394"/>
        <v>2.5630140022298459E-4</v>
      </c>
      <c r="J462" s="34">
        <f t="shared" si="394"/>
        <v>2.476342031139948E-4</v>
      </c>
      <c r="K462" s="34">
        <f t="shared" si="394"/>
        <v>2.3926009962704813E-4</v>
      </c>
      <c r="L462" s="34">
        <f t="shared" si="394"/>
        <v>2.3116917838362139E-4</v>
      </c>
      <c r="M462" s="34">
        <f t="shared" si="394"/>
        <v>2.2335186317258104E-4</v>
      </c>
      <c r="N462" s="34">
        <f t="shared" si="394"/>
        <v>2.1579890161602038E-4</v>
      </c>
      <c r="O462" s="34">
        <f t="shared" si="394"/>
        <v>2.0850135421837717E-4</v>
      </c>
      <c r="P462" s="34">
        <f t="shared" si="394"/>
        <v>2.0145058378587169E-4</v>
      </c>
      <c r="Q462" s="34">
        <f t="shared" si="394"/>
        <v>1.9463824520374079E-4</v>
      </c>
      <c r="R462" s="34">
        <f t="shared" si="394"/>
        <v>1.8805627555916986E-4</v>
      </c>
      <c r="S462" s="34">
        <f t="shared" si="394"/>
        <v>1.8169688459823176E-4</v>
      </c>
      <c r="T462" s="34">
        <f t="shared" si="394"/>
        <v>1.7555254550553795E-4</v>
      </c>
      <c r="U462" s="34">
        <f t="shared" si="394"/>
        <v>1.6961598599568884E-4</v>
      </c>
      <c r="V462" s="182">
        <f>SUM(B462:U462)</f>
        <v>4.7966861144089021E-3</v>
      </c>
      <c r="W462" s="35"/>
    </row>
    <row r="463" spans="1:23" s="99" customFormat="1">
      <c r="A463" s="48"/>
      <c r="B463" s="52"/>
      <c r="C463" s="52"/>
      <c r="D463" s="52"/>
      <c r="E463" s="52"/>
      <c r="F463" s="52"/>
      <c r="G463" s="52"/>
      <c r="H463" s="52"/>
      <c r="I463" s="52"/>
      <c r="J463" s="52"/>
      <c r="K463" s="52"/>
      <c r="L463" s="52"/>
      <c r="M463" s="52"/>
      <c r="N463" s="52"/>
      <c r="O463" s="52"/>
      <c r="P463" s="52"/>
      <c r="Q463" s="52"/>
      <c r="R463" s="52"/>
      <c r="S463" s="52"/>
      <c r="T463" s="52"/>
      <c r="U463" s="52"/>
      <c r="V463" s="180"/>
      <c r="W463" s="31"/>
    </row>
    <row r="464" spans="1:23" s="99" customFormat="1">
      <c r="A464" s="135" t="s">
        <v>1200</v>
      </c>
      <c r="B464" s="52"/>
      <c r="C464" s="52"/>
      <c r="D464" s="52"/>
      <c r="E464" s="52"/>
      <c r="F464" s="52"/>
      <c r="G464" s="52"/>
      <c r="H464" s="52"/>
      <c r="I464" s="52"/>
      <c r="J464" s="52"/>
      <c r="K464" s="52"/>
      <c r="L464" s="52"/>
      <c r="M464" s="52"/>
      <c r="N464" s="52"/>
      <c r="O464" s="52"/>
      <c r="P464" s="52"/>
      <c r="Q464" s="52"/>
      <c r="R464" s="52"/>
      <c r="S464" s="52"/>
      <c r="T464" s="52"/>
      <c r="U464" s="52"/>
      <c r="V464" s="180"/>
      <c r="W464" s="133"/>
    </row>
    <row r="465" spans="1:23" s="99" customFormat="1">
      <c r="A465" s="200" t="s">
        <v>679</v>
      </c>
      <c r="B465" s="52">
        <v>0</v>
      </c>
      <c r="C465" s="52">
        <v>0</v>
      </c>
      <c r="D465" s="52">
        <v>0</v>
      </c>
      <c r="E465" s="52">
        <v>0</v>
      </c>
      <c r="F465" s="52">
        <v>0</v>
      </c>
      <c r="G465" s="52">
        <v>0</v>
      </c>
      <c r="H465" s="52">
        <v>0</v>
      </c>
      <c r="I465" s="52">
        <v>0</v>
      </c>
      <c r="J465" s="52">
        <v>0</v>
      </c>
      <c r="K465" s="52">
        <v>0</v>
      </c>
      <c r="L465" s="52">
        <v>0</v>
      </c>
      <c r="M465" s="52">
        <v>0</v>
      </c>
      <c r="N465" s="52">
        <v>0</v>
      </c>
      <c r="O465" s="52">
        <v>0</v>
      </c>
      <c r="P465" s="52">
        <v>0</v>
      </c>
      <c r="Q465" s="52">
        <v>0</v>
      </c>
      <c r="R465" s="52">
        <v>0</v>
      </c>
      <c r="S465" s="52">
        <v>0</v>
      </c>
      <c r="T465" s="52">
        <v>0</v>
      </c>
      <c r="U465" s="52">
        <v>0</v>
      </c>
      <c r="V465" s="180">
        <f>SUM(B465:U465)</f>
        <v>0</v>
      </c>
      <c r="W465" s="133">
        <f>V465/20</f>
        <v>0</v>
      </c>
    </row>
    <row r="466" spans="1:23" s="20" customFormat="1">
      <c r="A466" s="200" t="s">
        <v>680</v>
      </c>
      <c r="B466" s="52">
        <f>('Scenario 2 Assumptions'!$B$279*('Scenario 2 Assumptions'!$B$357*0.5)/20)+B34</f>
        <v>3.3750000000000002E-4</v>
      </c>
      <c r="C466" s="52">
        <f>('Scenario 2 Assumptions'!$B$279*('Scenario 2 Assumptions'!$B$357*0.5)/20)+C34</f>
        <v>3.3750000000000002E-4</v>
      </c>
      <c r="D466" s="52">
        <f>('Scenario 2 Assumptions'!$B$279*('Scenario 2 Assumptions'!$B$357*0.5)/20)+D34</f>
        <v>3.3750000000000002E-4</v>
      </c>
      <c r="E466" s="52">
        <f>('Scenario 2 Assumptions'!$B$279*('Scenario 2 Assumptions'!$B$357*0.5)/20)+E34</f>
        <v>3.3750000000000002E-4</v>
      </c>
      <c r="F466" s="52">
        <f>('Scenario 2 Assumptions'!$B$279*('Scenario 2 Assumptions'!$B$357*0.5)/20)+F34</f>
        <v>3.3750000000000002E-4</v>
      </c>
      <c r="G466" s="52">
        <f>('Scenario 2 Assumptions'!$B$279*('Scenario 2 Assumptions'!$B$357*0.5)/20)+G34</f>
        <v>3.3750000000000002E-4</v>
      </c>
      <c r="H466" s="52">
        <f>('Scenario 2 Assumptions'!$B$279*('Scenario 2 Assumptions'!$B$357*0.5)/20)+H34</f>
        <v>3.3750000000000002E-4</v>
      </c>
      <c r="I466" s="52">
        <f>('Scenario 2 Assumptions'!$B$279*('Scenario 2 Assumptions'!$B$357*0.5)/20)+I34</f>
        <v>3.3750000000000002E-4</v>
      </c>
      <c r="J466" s="52">
        <f>('Scenario 2 Assumptions'!$B$279*('Scenario 2 Assumptions'!$B$357*0.5)/20)+J34</f>
        <v>3.3750000000000002E-4</v>
      </c>
      <c r="K466" s="52">
        <f>('Scenario 2 Assumptions'!$B$279*('Scenario 2 Assumptions'!$B$357*0.5)/20)+K34</f>
        <v>3.3750000000000002E-4</v>
      </c>
      <c r="L466" s="52">
        <f>('Scenario 2 Assumptions'!$B$279*('Scenario 2 Assumptions'!$B$357*0.5)/20)+L34</f>
        <v>3.3750000000000002E-4</v>
      </c>
      <c r="M466" s="52">
        <f>('Scenario 2 Assumptions'!$B$279*('Scenario 2 Assumptions'!$B$357*0.5)/20)+M34</f>
        <v>3.3750000000000002E-4</v>
      </c>
      <c r="N466" s="52">
        <f>('Scenario 2 Assumptions'!$B$279*('Scenario 2 Assumptions'!$B$357*0.5)/20)+N34</f>
        <v>3.3750000000000002E-4</v>
      </c>
      <c r="O466" s="52">
        <f>('Scenario 2 Assumptions'!$B$279*('Scenario 2 Assumptions'!$B$357*0.5)/20)+O34</f>
        <v>3.3750000000000002E-4</v>
      </c>
      <c r="P466" s="52">
        <f>('Scenario 2 Assumptions'!$B$279*('Scenario 2 Assumptions'!$B$357*0.5)/20)+P34</f>
        <v>3.3750000000000002E-4</v>
      </c>
      <c r="Q466" s="52">
        <f>('Scenario 2 Assumptions'!$B$279*('Scenario 2 Assumptions'!$B$357*0.5)/20)+Q34</f>
        <v>3.3750000000000002E-4</v>
      </c>
      <c r="R466" s="52">
        <f>('Scenario 2 Assumptions'!$B$279*('Scenario 2 Assumptions'!$B$357*0.5)/20)+R34</f>
        <v>3.3750000000000002E-4</v>
      </c>
      <c r="S466" s="52">
        <f>('Scenario 2 Assumptions'!$B$279*('Scenario 2 Assumptions'!$B$357*0.5)/20)+S34</f>
        <v>3.3750000000000002E-4</v>
      </c>
      <c r="T466" s="52">
        <f>('Scenario 2 Assumptions'!$B$279*('Scenario 2 Assumptions'!$B$357*0.5)/20)+T34</f>
        <v>3.3750000000000002E-4</v>
      </c>
      <c r="U466" s="52">
        <f>('Scenario 2 Assumptions'!$B$279*('Scenario 2 Assumptions'!$B$357*0.5)/20)+U34</f>
        <v>3.3750000000000002E-4</v>
      </c>
      <c r="V466" s="180">
        <f t="shared" ref="V466:V467" si="395">SUM(B466:U466)</f>
        <v>6.7500000000000017E-3</v>
      </c>
      <c r="W466" s="133">
        <f t="shared" ref="W466:W467" si="396">V466/20</f>
        <v>3.3750000000000007E-4</v>
      </c>
    </row>
    <row r="467" spans="1:23" s="99" customFormat="1" ht="13.5" customHeight="1">
      <c r="A467" s="49" t="s">
        <v>664</v>
      </c>
      <c r="B467" s="34">
        <f>SUM(B465:B466)</f>
        <v>3.3750000000000002E-4</v>
      </c>
      <c r="C467" s="34">
        <f t="shared" ref="C467" si="397">SUM(C465:C466)</f>
        <v>3.3750000000000002E-4</v>
      </c>
      <c r="D467" s="34">
        <f t="shared" ref="D467" si="398">SUM(D465:D466)</f>
        <v>3.3750000000000002E-4</v>
      </c>
      <c r="E467" s="34">
        <f t="shared" ref="E467" si="399">SUM(E465:E466)</f>
        <v>3.3750000000000002E-4</v>
      </c>
      <c r="F467" s="34">
        <f t="shared" ref="F467" si="400">SUM(F465:F466)</f>
        <v>3.3750000000000002E-4</v>
      </c>
      <c r="G467" s="34">
        <f t="shared" ref="G467" si="401">SUM(G465:G466)</f>
        <v>3.3750000000000002E-4</v>
      </c>
      <c r="H467" s="34">
        <f t="shared" ref="H467" si="402">SUM(H465:H466)</f>
        <v>3.3750000000000002E-4</v>
      </c>
      <c r="I467" s="34">
        <f t="shared" ref="I467" si="403">SUM(I465:I466)</f>
        <v>3.3750000000000002E-4</v>
      </c>
      <c r="J467" s="34">
        <f t="shared" ref="J467" si="404">SUM(J465:J466)</f>
        <v>3.3750000000000002E-4</v>
      </c>
      <c r="K467" s="34">
        <f t="shared" ref="K467" si="405">SUM(K465:K466)</f>
        <v>3.3750000000000002E-4</v>
      </c>
      <c r="L467" s="34">
        <f t="shared" ref="L467" si="406">SUM(L465:L466)</f>
        <v>3.3750000000000002E-4</v>
      </c>
      <c r="M467" s="34">
        <f t="shared" ref="M467" si="407">SUM(M465:M466)</f>
        <v>3.3750000000000002E-4</v>
      </c>
      <c r="N467" s="34">
        <f t="shared" ref="N467" si="408">SUM(N465:N466)</f>
        <v>3.3750000000000002E-4</v>
      </c>
      <c r="O467" s="34">
        <f t="shared" ref="O467" si="409">SUM(O465:O466)</f>
        <v>3.3750000000000002E-4</v>
      </c>
      <c r="P467" s="34">
        <f t="shared" ref="P467" si="410">SUM(P465:P466)</f>
        <v>3.3750000000000002E-4</v>
      </c>
      <c r="Q467" s="34">
        <f t="shared" ref="Q467" si="411">SUM(Q465:Q466)</f>
        <v>3.3750000000000002E-4</v>
      </c>
      <c r="R467" s="34">
        <f t="shared" ref="R467" si="412">SUM(R465:R466)</f>
        <v>3.3750000000000002E-4</v>
      </c>
      <c r="S467" s="34">
        <f t="shared" ref="S467" si="413">SUM(S465:S466)</f>
        <v>3.3750000000000002E-4</v>
      </c>
      <c r="T467" s="34">
        <f t="shared" ref="T467" si="414">SUM(T465:T466)</f>
        <v>3.3750000000000002E-4</v>
      </c>
      <c r="U467" s="34">
        <f t="shared" ref="U467" si="415">SUM(U465:U466)</f>
        <v>3.3750000000000002E-4</v>
      </c>
      <c r="V467" s="180">
        <f t="shared" si="395"/>
        <v>6.7500000000000017E-3</v>
      </c>
      <c r="W467" s="133">
        <f t="shared" si="396"/>
        <v>3.3750000000000007E-4</v>
      </c>
    </row>
    <row r="468" spans="1:23" s="100" customFormat="1">
      <c r="A468" s="134" t="s">
        <v>123</v>
      </c>
      <c r="B468" s="52">
        <v>0.96618357487922713</v>
      </c>
      <c r="C468" s="52">
        <v>0.93351070036640305</v>
      </c>
      <c r="D468" s="52">
        <v>0.90194270566802237</v>
      </c>
      <c r="E468" s="52">
        <v>0.87144222769857238</v>
      </c>
      <c r="F468" s="52">
        <v>0.84197316685852419</v>
      </c>
      <c r="G468" s="52">
        <v>0.81350064430775282</v>
      </c>
      <c r="H468" s="52">
        <v>0.78599096068381913</v>
      </c>
      <c r="I468" s="52">
        <v>0.75941155621625056</v>
      </c>
      <c r="J468" s="52">
        <v>0.73373097218961414</v>
      </c>
      <c r="K468" s="52">
        <v>0.70891881370977217</v>
      </c>
      <c r="L468" s="52">
        <v>0.68494571372924851</v>
      </c>
      <c r="M468" s="52">
        <v>0.66178329828912896</v>
      </c>
      <c r="N468" s="52">
        <v>0.63940415293635666</v>
      </c>
      <c r="O468" s="52">
        <v>0.61778179027667302</v>
      </c>
      <c r="P468" s="52">
        <v>0.59689061862480497</v>
      </c>
      <c r="Q468" s="52">
        <v>0.57670591171478747</v>
      </c>
      <c r="R468" s="52">
        <v>0.55720377943457733</v>
      </c>
      <c r="S468" s="52">
        <v>0.53836113955031628</v>
      </c>
      <c r="T468" s="52">
        <v>0.52015569038677911</v>
      </c>
      <c r="U468" s="52">
        <v>0.50256588443167061</v>
      </c>
      <c r="V468" s="180"/>
      <c r="W468" s="133"/>
    </row>
    <row r="469" spans="1:23" s="99" customFormat="1">
      <c r="A469" s="50" t="s">
        <v>1069</v>
      </c>
      <c r="B469" s="34">
        <f t="shared" ref="B469:U469" si="416">B468*B467</f>
        <v>3.2608695652173916E-4</v>
      </c>
      <c r="C469" s="34">
        <f t="shared" si="416"/>
        <v>3.1505986137366106E-4</v>
      </c>
      <c r="D469" s="34">
        <f t="shared" si="416"/>
        <v>3.0440566316295754E-4</v>
      </c>
      <c r="E469" s="34">
        <f t="shared" si="416"/>
        <v>2.9411175184826822E-4</v>
      </c>
      <c r="F469" s="34">
        <f t="shared" si="416"/>
        <v>2.8416594381475195E-4</v>
      </c>
      <c r="G469" s="34">
        <f t="shared" si="416"/>
        <v>2.745564674538666E-4</v>
      </c>
      <c r="H469" s="34">
        <f t="shared" si="416"/>
        <v>2.6527194923078894E-4</v>
      </c>
      <c r="I469" s="34">
        <f t="shared" si="416"/>
        <v>2.5630140022298459E-4</v>
      </c>
      <c r="J469" s="34">
        <f t="shared" si="416"/>
        <v>2.476342031139948E-4</v>
      </c>
      <c r="K469" s="34">
        <f t="shared" si="416"/>
        <v>2.3926009962704813E-4</v>
      </c>
      <c r="L469" s="34">
        <f t="shared" si="416"/>
        <v>2.3116917838362139E-4</v>
      </c>
      <c r="M469" s="34">
        <f t="shared" si="416"/>
        <v>2.2335186317258104E-4</v>
      </c>
      <c r="N469" s="34">
        <f t="shared" si="416"/>
        <v>2.1579890161602038E-4</v>
      </c>
      <c r="O469" s="34">
        <f t="shared" si="416"/>
        <v>2.0850135421837717E-4</v>
      </c>
      <c r="P469" s="34">
        <f t="shared" si="416"/>
        <v>2.0145058378587169E-4</v>
      </c>
      <c r="Q469" s="34">
        <f t="shared" si="416"/>
        <v>1.9463824520374079E-4</v>
      </c>
      <c r="R469" s="34">
        <f t="shared" si="416"/>
        <v>1.8805627555916986E-4</v>
      </c>
      <c r="S469" s="34">
        <f t="shared" si="416"/>
        <v>1.8169688459823176E-4</v>
      </c>
      <c r="T469" s="34">
        <f t="shared" si="416"/>
        <v>1.7555254550553795E-4</v>
      </c>
      <c r="U469" s="34">
        <f t="shared" si="416"/>
        <v>1.6961598599568884E-4</v>
      </c>
      <c r="V469" s="182">
        <f>SUM(B469:U469)</f>
        <v>4.7966861144089021E-3</v>
      </c>
      <c r="W469" s="35"/>
    </row>
    <row r="470" spans="1:23" s="99" customFormat="1">
      <c r="A470" s="48"/>
      <c r="B470" s="52"/>
      <c r="C470" s="52"/>
      <c r="D470" s="52"/>
      <c r="E470" s="52"/>
      <c r="F470" s="52"/>
      <c r="G470" s="52"/>
      <c r="H470" s="52"/>
      <c r="I470" s="52"/>
      <c r="J470" s="52"/>
      <c r="K470" s="52"/>
      <c r="L470" s="52"/>
      <c r="M470" s="52"/>
      <c r="N470" s="52"/>
      <c r="O470" s="52"/>
      <c r="P470" s="52"/>
      <c r="Q470" s="52"/>
      <c r="R470" s="52"/>
      <c r="S470" s="52"/>
      <c r="T470" s="52"/>
      <c r="U470" s="52"/>
      <c r="V470" s="180"/>
      <c r="W470" s="133"/>
    </row>
    <row r="471" spans="1:23" s="99" customFormat="1">
      <c r="A471" s="135" t="s">
        <v>1093</v>
      </c>
      <c r="B471" s="52"/>
      <c r="C471" s="52"/>
      <c r="D471" s="52"/>
      <c r="E471" s="52"/>
      <c r="F471" s="52"/>
      <c r="G471" s="52"/>
      <c r="H471" s="52"/>
      <c r="I471" s="52"/>
      <c r="J471" s="52"/>
      <c r="K471" s="52"/>
      <c r="L471" s="52"/>
      <c r="M471" s="52"/>
      <c r="N471" s="52"/>
      <c r="O471" s="52"/>
      <c r="P471" s="52"/>
      <c r="Q471" s="52"/>
      <c r="R471" s="52"/>
      <c r="S471" s="52"/>
      <c r="T471" s="52"/>
      <c r="U471" s="52"/>
      <c r="V471" s="180"/>
      <c r="W471" s="133"/>
    </row>
    <row r="472" spans="1:23" s="99" customFormat="1">
      <c r="A472" s="200" t="s">
        <v>679</v>
      </c>
      <c r="B472" s="52">
        <f t="shared" ref="B472:U472" si="417">B26</f>
        <v>0</v>
      </c>
      <c r="C472" s="52">
        <f t="shared" si="417"/>
        <v>0</v>
      </c>
      <c r="D472" s="52">
        <f t="shared" si="417"/>
        <v>0</v>
      </c>
      <c r="E472" s="52">
        <f t="shared" si="417"/>
        <v>0</v>
      </c>
      <c r="F472" s="52">
        <f t="shared" si="417"/>
        <v>0</v>
      </c>
      <c r="G472" s="52">
        <f t="shared" si="417"/>
        <v>0</v>
      </c>
      <c r="H472" s="52">
        <f t="shared" si="417"/>
        <v>0</v>
      </c>
      <c r="I472" s="52">
        <f t="shared" si="417"/>
        <v>0</v>
      </c>
      <c r="J472" s="52">
        <f t="shared" si="417"/>
        <v>0</v>
      </c>
      <c r="K472" s="52">
        <f t="shared" si="417"/>
        <v>6.7499999999999999E-3</v>
      </c>
      <c r="L472" s="52">
        <f t="shared" si="417"/>
        <v>0</v>
      </c>
      <c r="M472" s="52">
        <f t="shared" si="417"/>
        <v>0</v>
      </c>
      <c r="N472" s="52">
        <f t="shared" si="417"/>
        <v>0</v>
      </c>
      <c r="O472" s="52">
        <f t="shared" si="417"/>
        <v>0</v>
      </c>
      <c r="P472" s="52">
        <f t="shared" si="417"/>
        <v>0</v>
      </c>
      <c r="Q472" s="52">
        <f t="shared" si="417"/>
        <v>0</v>
      </c>
      <c r="R472" s="52">
        <f t="shared" si="417"/>
        <v>0</v>
      </c>
      <c r="S472" s="52">
        <f t="shared" si="417"/>
        <v>0</v>
      </c>
      <c r="T472" s="52">
        <f t="shared" si="417"/>
        <v>0</v>
      </c>
      <c r="U472" s="52">
        <f t="shared" si="417"/>
        <v>0</v>
      </c>
      <c r="V472" s="180">
        <f>SUM(B472:U472)</f>
        <v>6.7499999999999999E-3</v>
      </c>
      <c r="W472" s="133">
        <f>V472/20</f>
        <v>3.3750000000000002E-4</v>
      </c>
    </row>
    <row r="473" spans="1:23" s="20" customFormat="1">
      <c r="A473" s="200" t="s">
        <v>680</v>
      </c>
      <c r="B473" s="52">
        <f>('Scenario 2 Assumptions'!$B$279*('Scenario 2 Assumptions'!$B$358*0.5)/20)+B42</f>
        <v>5.0624999999999997E-4</v>
      </c>
      <c r="C473" s="52">
        <f>('Scenario 2 Assumptions'!$B$279*('Scenario 2 Assumptions'!$B$358*0.5)/20)+C42</f>
        <v>5.0624999999999997E-4</v>
      </c>
      <c r="D473" s="52">
        <f>('Scenario 2 Assumptions'!$B$279*('Scenario 2 Assumptions'!$B$358*0.5)/20)+D42</f>
        <v>5.0624999999999997E-4</v>
      </c>
      <c r="E473" s="52">
        <f>('Scenario 2 Assumptions'!$B$279*('Scenario 2 Assumptions'!$B$358*0.5)/20)+E42</f>
        <v>5.0624999999999997E-4</v>
      </c>
      <c r="F473" s="52">
        <f>('Scenario 2 Assumptions'!$B$279*('Scenario 2 Assumptions'!$B$358*0.5)/20)+F42</f>
        <v>5.0624999999999997E-4</v>
      </c>
      <c r="G473" s="52">
        <f>('Scenario 2 Assumptions'!$B$279*('Scenario 2 Assumptions'!$B$358*0.5)/20)+G42</f>
        <v>5.0624999999999997E-4</v>
      </c>
      <c r="H473" s="52">
        <f>('Scenario 2 Assumptions'!$B$279*('Scenario 2 Assumptions'!$B$358*0.5)/20)+H42</f>
        <v>5.0624999999999997E-4</v>
      </c>
      <c r="I473" s="52">
        <f>('Scenario 2 Assumptions'!$B$279*('Scenario 2 Assumptions'!$B$358*0.5)/20)+I42</f>
        <v>5.0624999999999997E-4</v>
      </c>
      <c r="J473" s="52">
        <f>('Scenario 2 Assumptions'!$B$279*('Scenario 2 Assumptions'!$B$358*0.5)/20)+J42</f>
        <v>5.0624999999999997E-4</v>
      </c>
      <c r="K473" s="52">
        <f>('Scenario 2 Assumptions'!$B$279*('Scenario 2 Assumptions'!$B$358*0.5)/20)+K42</f>
        <v>5.0624999999999997E-4</v>
      </c>
      <c r="L473" s="52">
        <f>('Scenario 2 Assumptions'!$B$279*('Scenario 2 Assumptions'!$B$358*0.5)/20)+L42</f>
        <v>5.0624999999999997E-4</v>
      </c>
      <c r="M473" s="52">
        <f>('Scenario 2 Assumptions'!$B$279*('Scenario 2 Assumptions'!$B$358*0.5)/20)+M42</f>
        <v>5.0624999999999997E-4</v>
      </c>
      <c r="N473" s="52">
        <f>('Scenario 2 Assumptions'!$B$279*('Scenario 2 Assumptions'!$B$358*0.5)/20)+N42</f>
        <v>5.0624999999999997E-4</v>
      </c>
      <c r="O473" s="52">
        <f>('Scenario 2 Assumptions'!$B$279*('Scenario 2 Assumptions'!$B$358*0.5)/20)+O42</f>
        <v>5.0624999999999997E-4</v>
      </c>
      <c r="P473" s="52">
        <f>('Scenario 2 Assumptions'!$B$279*('Scenario 2 Assumptions'!$B$358*0.5)/20)+P42</f>
        <v>5.0624999999999997E-4</v>
      </c>
      <c r="Q473" s="52">
        <f>('Scenario 2 Assumptions'!$B$279*('Scenario 2 Assumptions'!$B$358*0.5)/20)+Q42</f>
        <v>5.0624999999999997E-4</v>
      </c>
      <c r="R473" s="52">
        <f>('Scenario 2 Assumptions'!$B$279*('Scenario 2 Assumptions'!$B$358*0.5)/20)+R42</f>
        <v>5.0624999999999997E-4</v>
      </c>
      <c r="S473" s="52">
        <f>('Scenario 2 Assumptions'!$B$279*('Scenario 2 Assumptions'!$B$358*0.5)/20)+S42</f>
        <v>5.0624999999999997E-4</v>
      </c>
      <c r="T473" s="52">
        <f>('Scenario 2 Assumptions'!$B$279*('Scenario 2 Assumptions'!$B$358*0.5)/20)+T42</f>
        <v>5.0624999999999997E-4</v>
      </c>
      <c r="U473" s="52">
        <f>('Scenario 2 Assumptions'!$B$279*('Scenario 2 Assumptions'!$B$358*0.5)/20)+U42</f>
        <v>5.0624999999999997E-4</v>
      </c>
      <c r="V473" s="180">
        <f t="shared" ref="V473:V474" si="418">SUM(B473:U473)</f>
        <v>1.0124999999999997E-2</v>
      </c>
      <c r="W473" s="133">
        <f t="shared" ref="W473:W474" si="419">V473/20</f>
        <v>5.0624999999999986E-4</v>
      </c>
    </row>
    <row r="474" spans="1:23" s="99" customFormat="1" ht="13.5" customHeight="1">
      <c r="A474" s="49" t="s">
        <v>664</v>
      </c>
      <c r="B474" s="34">
        <f>SUM(B472:B473)</f>
        <v>5.0624999999999997E-4</v>
      </c>
      <c r="C474" s="34">
        <f t="shared" ref="C474" si="420">SUM(C472:C473)</f>
        <v>5.0624999999999997E-4</v>
      </c>
      <c r="D474" s="34">
        <f t="shared" ref="D474" si="421">SUM(D472:D473)</f>
        <v>5.0624999999999997E-4</v>
      </c>
      <c r="E474" s="34">
        <f t="shared" ref="E474" si="422">SUM(E472:E473)</f>
        <v>5.0624999999999997E-4</v>
      </c>
      <c r="F474" s="34">
        <f t="shared" ref="F474" si="423">SUM(F472:F473)</f>
        <v>5.0624999999999997E-4</v>
      </c>
      <c r="G474" s="34">
        <f t="shared" ref="G474" si="424">SUM(G472:G473)</f>
        <v>5.0624999999999997E-4</v>
      </c>
      <c r="H474" s="34">
        <f t="shared" ref="H474" si="425">SUM(H472:H473)</f>
        <v>5.0624999999999997E-4</v>
      </c>
      <c r="I474" s="34">
        <f t="shared" ref="I474" si="426">SUM(I472:I473)</f>
        <v>5.0624999999999997E-4</v>
      </c>
      <c r="J474" s="34">
        <f t="shared" ref="J474" si="427">SUM(J472:J473)</f>
        <v>5.0624999999999997E-4</v>
      </c>
      <c r="K474" s="34">
        <f t="shared" ref="K474" si="428">SUM(K472:K473)</f>
        <v>7.2562499999999997E-3</v>
      </c>
      <c r="L474" s="34">
        <f t="shared" ref="L474" si="429">SUM(L472:L473)</f>
        <v>5.0624999999999997E-4</v>
      </c>
      <c r="M474" s="34">
        <f t="shared" ref="M474" si="430">SUM(M472:M473)</f>
        <v>5.0624999999999997E-4</v>
      </c>
      <c r="N474" s="34">
        <f t="shared" ref="N474" si="431">SUM(N472:N473)</f>
        <v>5.0624999999999997E-4</v>
      </c>
      <c r="O474" s="34">
        <f t="shared" ref="O474" si="432">SUM(O472:O473)</f>
        <v>5.0624999999999997E-4</v>
      </c>
      <c r="P474" s="34">
        <f t="shared" ref="P474" si="433">SUM(P472:P473)</f>
        <v>5.0624999999999997E-4</v>
      </c>
      <c r="Q474" s="34">
        <f t="shared" ref="Q474" si="434">SUM(Q472:Q473)</f>
        <v>5.0624999999999997E-4</v>
      </c>
      <c r="R474" s="34">
        <f t="shared" ref="R474" si="435">SUM(R472:R473)</f>
        <v>5.0624999999999997E-4</v>
      </c>
      <c r="S474" s="34">
        <f t="shared" ref="S474" si="436">SUM(S472:S473)</f>
        <v>5.0624999999999997E-4</v>
      </c>
      <c r="T474" s="34">
        <f t="shared" ref="T474" si="437">SUM(T472:T473)</f>
        <v>5.0624999999999997E-4</v>
      </c>
      <c r="U474" s="34">
        <f t="shared" ref="U474" si="438">SUM(U472:U473)</f>
        <v>5.0624999999999997E-4</v>
      </c>
      <c r="V474" s="180">
        <f t="shared" si="418"/>
        <v>1.6874999999999998E-2</v>
      </c>
      <c r="W474" s="133">
        <f t="shared" si="419"/>
        <v>8.4374999999999988E-4</v>
      </c>
    </row>
    <row r="475" spans="1:23" s="100" customFormat="1">
      <c r="A475" s="134" t="s">
        <v>123</v>
      </c>
      <c r="B475" s="52">
        <v>0.96618357487922713</v>
      </c>
      <c r="C475" s="52">
        <v>0.93351070036640305</v>
      </c>
      <c r="D475" s="52">
        <v>0.90194270566802237</v>
      </c>
      <c r="E475" s="52">
        <v>0.87144222769857238</v>
      </c>
      <c r="F475" s="52">
        <v>0.84197316685852419</v>
      </c>
      <c r="G475" s="52">
        <v>0.81350064430775282</v>
      </c>
      <c r="H475" s="52">
        <v>0.78599096068381913</v>
      </c>
      <c r="I475" s="52">
        <v>0.75941155621625056</v>
      </c>
      <c r="J475" s="52">
        <v>0.73373097218961414</v>
      </c>
      <c r="K475" s="52">
        <v>0.70891881370977217</v>
      </c>
      <c r="L475" s="52">
        <v>0.68494571372924851</v>
      </c>
      <c r="M475" s="52">
        <v>0.66178329828912896</v>
      </c>
      <c r="N475" s="52">
        <v>0.63940415293635666</v>
      </c>
      <c r="O475" s="52">
        <v>0.61778179027667302</v>
      </c>
      <c r="P475" s="52">
        <v>0.59689061862480497</v>
      </c>
      <c r="Q475" s="52">
        <v>0.57670591171478747</v>
      </c>
      <c r="R475" s="52">
        <v>0.55720377943457733</v>
      </c>
      <c r="S475" s="52">
        <v>0.53836113955031628</v>
      </c>
      <c r="T475" s="52">
        <v>0.52015569038677911</v>
      </c>
      <c r="U475" s="52">
        <v>0.50256588443167061</v>
      </c>
      <c r="V475" s="180"/>
      <c r="W475" s="133"/>
    </row>
    <row r="476" spans="1:23">
      <c r="A476" s="50" t="s">
        <v>1069</v>
      </c>
      <c r="B476" s="34">
        <f t="shared" ref="B476:U476" si="439">B475*B474</f>
        <v>4.8913043478260873E-4</v>
      </c>
      <c r="C476" s="34">
        <f t="shared" si="439"/>
        <v>4.7258979206049151E-4</v>
      </c>
      <c r="D476" s="34">
        <f t="shared" si="439"/>
        <v>4.5660849474443629E-4</v>
      </c>
      <c r="E476" s="34">
        <f t="shared" si="439"/>
        <v>4.4116762777240222E-4</v>
      </c>
      <c r="F476" s="34">
        <f t="shared" si="439"/>
        <v>4.2624891572212785E-4</v>
      </c>
      <c r="G476" s="34">
        <f t="shared" si="439"/>
        <v>4.1183470118079987E-4</v>
      </c>
      <c r="H476" s="34">
        <f t="shared" si="439"/>
        <v>3.9790792384618339E-4</v>
      </c>
      <c r="I476" s="34">
        <f t="shared" si="439"/>
        <v>3.8445210033447681E-4</v>
      </c>
      <c r="J476" s="34">
        <f t="shared" si="439"/>
        <v>3.7145130467099212E-4</v>
      </c>
      <c r="K476" s="34">
        <f t="shared" si="439"/>
        <v>5.1440921419815345E-3</v>
      </c>
      <c r="L476" s="34">
        <f t="shared" si="439"/>
        <v>3.4675376757543203E-4</v>
      </c>
      <c r="M476" s="34">
        <f t="shared" si="439"/>
        <v>3.3502779475887151E-4</v>
      </c>
      <c r="N476" s="34">
        <f t="shared" si="439"/>
        <v>3.2369835242403053E-4</v>
      </c>
      <c r="O476" s="34">
        <f t="shared" si="439"/>
        <v>3.1275203132756572E-4</v>
      </c>
      <c r="P476" s="34">
        <f t="shared" si="439"/>
        <v>3.0217587567880747E-4</v>
      </c>
      <c r="Q476" s="34">
        <f t="shared" si="439"/>
        <v>2.9195736780561113E-4</v>
      </c>
      <c r="R476" s="34">
        <f t="shared" si="439"/>
        <v>2.8208441333875476E-4</v>
      </c>
      <c r="S476" s="34">
        <f t="shared" si="439"/>
        <v>2.7254532689734758E-4</v>
      </c>
      <c r="T476" s="34">
        <f t="shared" si="439"/>
        <v>2.6332881825830693E-4</v>
      </c>
      <c r="U476" s="34">
        <f t="shared" si="439"/>
        <v>2.5442397899353325E-4</v>
      </c>
      <c r="V476" s="182">
        <f>SUM(B476:U476)</f>
        <v>1.1980231164154311E-2</v>
      </c>
      <c r="W476" s="35"/>
    </row>
    <row r="477" spans="1:23">
      <c r="A477" s="48"/>
      <c r="B477" s="52"/>
      <c r="C477" s="52"/>
      <c r="D477" s="52"/>
      <c r="E477" s="52"/>
      <c r="F477" s="52"/>
      <c r="G477" s="52"/>
      <c r="H477" s="52"/>
      <c r="I477" s="52"/>
      <c r="J477" s="52"/>
      <c r="K477" s="52"/>
      <c r="L477" s="52"/>
      <c r="M477" s="52"/>
      <c r="N477" s="52"/>
      <c r="O477" s="52"/>
      <c r="P477" s="52"/>
      <c r="Q477" s="52"/>
      <c r="R477" s="52"/>
      <c r="S477" s="52"/>
      <c r="T477" s="52"/>
      <c r="U477" s="52"/>
      <c r="V477" s="180"/>
      <c r="W477" s="133"/>
    </row>
    <row r="478" spans="1:23">
      <c r="A478" s="135" t="s">
        <v>1245</v>
      </c>
      <c r="B478" s="52"/>
      <c r="C478" s="52"/>
      <c r="D478" s="52"/>
      <c r="E478" s="52"/>
      <c r="F478" s="52"/>
      <c r="G478" s="52"/>
      <c r="H478" s="52"/>
      <c r="I478" s="52"/>
      <c r="J478" s="52"/>
      <c r="K478" s="52"/>
      <c r="L478" s="52"/>
      <c r="M478" s="52"/>
      <c r="N478" s="52"/>
      <c r="O478" s="52"/>
      <c r="P478" s="52"/>
      <c r="Q478" s="52"/>
      <c r="R478" s="52"/>
      <c r="S478" s="52"/>
      <c r="T478" s="52"/>
      <c r="U478" s="52"/>
      <c r="V478" s="180"/>
      <c r="W478" s="133"/>
    </row>
    <row r="479" spans="1:23">
      <c r="A479" s="200" t="s">
        <v>679</v>
      </c>
      <c r="B479" s="52">
        <v>0</v>
      </c>
      <c r="C479" s="52">
        <v>0</v>
      </c>
      <c r="D479" s="52">
        <v>0</v>
      </c>
      <c r="E479" s="52">
        <v>0</v>
      </c>
      <c r="F479" s="52">
        <v>0</v>
      </c>
      <c r="G479" s="52">
        <v>0</v>
      </c>
      <c r="H479" s="52">
        <v>0</v>
      </c>
      <c r="I479" s="52">
        <v>0</v>
      </c>
      <c r="J479" s="52">
        <v>0</v>
      </c>
      <c r="K479" s="52">
        <v>0</v>
      </c>
      <c r="L479" s="52">
        <v>0</v>
      </c>
      <c r="M479" s="52">
        <v>0</v>
      </c>
      <c r="N479" s="52">
        <v>0</v>
      </c>
      <c r="O479" s="52">
        <v>0</v>
      </c>
      <c r="P479" s="52">
        <v>0</v>
      </c>
      <c r="Q479" s="52">
        <v>0</v>
      </c>
      <c r="R479" s="52">
        <v>0</v>
      </c>
      <c r="S479" s="52">
        <v>0</v>
      </c>
      <c r="T479" s="52">
        <v>0</v>
      </c>
      <c r="U479" s="52">
        <v>0</v>
      </c>
      <c r="V479" s="180">
        <f>SUM(B479:U479)</f>
        <v>0</v>
      </c>
      <c r="W479" s="133">
        <f>V479/20</f>
        <v>0</v>
      </c>
    </row>
    <row r="480" spans="1:23" s="3" customFormat="1">
      <c r="A480" s="200" t="s">
        <v>680</v>
      </c>
      <c r="B480" s="52">
        <f>('Scenario 2 Assumptions'!$B$279*('Scenario 2 Assumptions'!$B$359*0.5)/20)</f>
        <v>1.3500000000000001E-3</v>
      </c>
      <c r="C480" s="52">
        <f>('Scenario 2 Assumptions'!$B$279*('Scenario 2 Assumptions'!$B$359*0.5)/20)</f>
        <v>1.3500000000000001E-3</v>
      </c>
      <c r="D480" s="52">
        <f>('Scenario 2 Assumptions'!$B$279*('Scenario 2 Assumptions'!$B$359*0.5)/20)</f>
        <v>1.3500000000000001E-3</v>
      </c>
      <c r="E480" s="52">
        <f>('Scenario 2 Assumptions'!$B$279*('Scenario 2 Assumptions'!$B$359*0.5)/20)</f>
        <v>1.3500000000000001E-3</v>
      </c>
      <c r="F480" s="52">
        <f>('Scenario 2 Assumptions'!$B$279*('Scenario 2 Assumptions'!$B$359*0.5)/20)</f>
        <v>1.3500000000000001E-3</v>
      </c>
      <c r="G480" s="52">
        <f>('Scenario 2 Assumptions'!$B$279*('Scenario 2 Assumptions'!$B$359*0.5)/20)</f>
        <v>1.3500000000000001E-3</v>
      </c>
      <c r="H480" s="52">
        <f>('Scenario 2 Assumptions'!$B$279*('Scenario 2 Assumptions'!$B$359*0.5)/20)</f>
        <v>1.3500000000000001E-3</v>
      </c>
      <c r="I480" s="52">
        <f>('Scenario 2 Assumptions'!$B$279*('Scenario 2 Assumptions'!$B$359*0.5)/20)</f>
        <v>1.3500000000000001E-3</v>
      </c>
      <c r="J480" s="52">
        <f>('Scenario 2 Assumptions'!$B$279*('Scenario 2 Assumptions'!$B$359*0.5)/20)</f>
        <v>1.3500000000000001E-3</v>
      </c>
      <c r="K480" s="52">
        <f>('Scenario 2 Assumptions'!$B$279*('Scenario 2 Assumptions'!$B$359*0.5)/20)</f>
        <v>1.3500000000000001E-3</v>
      </c>
      <c r="L480" s="52">
        <f>('Scenario 2 Assumptions'!$B$279*('Scenario 2 Assumptions'!$B$359*0.5)/20)</f>
        <v>1.3500000000000001E-3</v>
      </c>
      <c r="M480" s="52">
        <f>('Scenario 2 Assumptions'!$B$279*('Scenario 2 Assumptions'!$B$359*0.5)/20)</f>
        <v>1.3500000000000001E-3</v>
      </c>
      <c r="N480" s="52">
        <f>('Scenario 2 Assumptions'!$B$279*('Scenario 2 Assumptions'!$B$359*0.5)/20)</f>
        <v>1.3500000000000001E-3</v>
      </c>
      <c r="O480" s="52">
        <f>('Scenario 2 Assumptions'!$B$279*('Scenario 2 Assumptions'!$B$359*0.5)/20)</f>
        <v>1.3500000000000001E-3</v>
      </c>
      <c r="P480" s="52">
        <f>('Scenario 2 Assumptions'!$B$279*('Scenario 2 Assumptions'!$B$359*0.5)/20)</f>
        <v>1.3500000000000001E-3</v>
      </c>
      <c r="Q480" s="52">
        <f>('Scenario 2 Assumptions'!$B$279*('Scenario 2 Assumptions'!$B$359*0.5)/20)</f>
        <v>1.3500000000000001E-3</v>
      </c>
      <c r="R480" s="52">
        <f>('Scenario 2 Assumptions'!$B$279*('Scenario 2 Assumptions'!$B$359*0.5)/20)</f>
        <v>1.3500000000000001E-3</v>
      </c>
      <c r="S480" s="52">
        <f>('Scenario 2 Assumptions'!$B$279*('Scenario 2 Assumptions'!$B$359*0.5)/20)</f>
        <v>1.3500000000000001E-3</v>
      </c>
      <c r="T480" s="52">
        <f>('Scenario 2 Assumptions'!$B$279*('Scenario 2 Assumptions'!$B$359*0.5)/20)</f>
        <v>1.3500000000000001E-3</v>
      </c>
      <c r="U480" s="52">
        <f>('Scenario 2 Assumptions'!$B$279*('Scenario 2 Assumptions'!$B$359*0.5)/20)</f>
        <v>1.3500000000000001E-3</v>
      </c>
      <c r="V480" s="180">
        <f t="shared" ref="V480:V481" si="440">SUM(B480:U480)</f>
        <v>2.7000000000000007E-2</v>
      </c>
      <c r="W480" s="133">
        <f t="shared" ref="W480:W481" si="441">V480/20</f>
        <v>1.3500000000000003E-3</v>
      </c>
    </row>
    <row r="481" spans="1:23" ht="13.5" customHeight="1">
      <c r="A481" s="49" t="s">
        <v>664</v>
      </c>
      <c r="B481" s="34">
        <f>SUM(B479:B480)</f>
        <v>1.3500000000000001E-3</v>
      </c>
      <c r="C481" s="34">
        <f t="shared" ref="C481" si="442">SUM(C479:C480)</f>
        <v>1.3500000000000001E-3</v>
      </c>
      <c r="D481" s="34">
        <f t="shared" ref="D481" si="443">SUM(D479:D480)</f>
        <v>1.3500000000000001E-3</v>
      </c>
      <c r="E481" s="34">
        <f t="shared" ref="E481" si="444">SUM(E479:E480)</f>
        <v>1.3500000000000001E-3</v>
      </c>
      <c r="F481" s="34">
        <f t="shared" ref="F481" si="445">SUM(F479:F480)</f>
        <v>1.3500000000000001E-3</v>
      </c>
      <c r="G481" s="34">
        <f t="shared" ref="G481" si="446">SUM(G479:G480)</f>
        <v>1.3500000000000001E-3</v>
      </c>
      <c r="H481" s="34">
        <f t="shared" ref="H481" si="447">SUM(H479:H480)</f>
        <v>1.3500000000000001E-3</v>
      </c>
      <c r="I481" s="34">
        <f t="shared" ref="I481" si="448">SUM(I479:I480)</f>
        <v>1.3500000000000001E-3</v>
      </c>
      <c r="J481" s="34">
        <f t="shared" ref="J481" si="449">SUM(J479:J480)</f>
        <v>1.3500000000000001E-3</v>
      </c>
      <c r="K481" s="34">
        <f t="shared" ref="K481" si="450">SUM(K479:K480)</f>
        <v>1.3500000000000001E-3</v>
      </c>
      <c r="L481" s="34">
        <f t="shared" ref="L481" si="451">SUM(L479:L480)</f>
        <v>1.3500000000000001E-3</v>
      </c>
      <c r="M481" s="34">
        <f t="shared" ref="M481" si="452">SUM(M479:M480)</f>
        <v>1.3500000000000001E-3</v>
      </c>
      <c r="N481" s="34">
        <f t="shared" ref="N481" si="453">SUM(N479:N480)</f>
        <v>1.3500000000000001E-3</v>
      </c>
      <c r="O481" s="34">
        <f t="shared" ref="O481" si="454">SUM(O479:O480)</f>
        <v>1.3500000000000001E-3</v>
      </c>
      <c r="P481" s="34">
        <f t="shared" ref="P481" si="455">SUM(P479:P480)</f>
        <v>1.3500000000000001E-3</v>
      </c>
      <c r="Q481" s="34">
        <f t="shared" ref="Q481" si="456">SUM(Q479:Q480)</f>
        <v>1.3500000000000001E-3</v>
      </c>
      <c r="R481" s="34">
        <f t="shared" ref="R481" si="457">SUM(R479:R480)</f>
        <v>1.3500000000000001E-3</v>
      </c>
      <c r="S481" s="34">
        <f t="shared" ref="S481" si="458">SUM(S479:S480)</f>
        <v>1.3500000000000001E-3</v>
      </c>
      <c r="T481" s="34">
        <f t="shared" ref="T481" si="459">SUM(T479:T480)</f>
        <v>1.3500000000000001E-3</v>
      </c>
      <c r="U481" s="34">
        <f t="shared" ref="U481" si="460">SUM(U479:U480)</f>
        <v>1.3500000000000001E-3</v>
      </c>
      <c r="V481" s="180">
        <f t="shared" si="440"/>
        <v>2.7000000000000007E-2</v>
      </c>
      <c r="W481" s="133">
        <f t="shared" si="441"/>
        <v>1.3500000000000003E-3</v>
      </c>
    </row>
    <row r="482" spans="1:23" s="81" customFormat="1">
      <c r="A482" s="134" t="s">
        <v>123</v>
      </c>
      <c r="B482" s="52">
        <v>0.96618357487922713</v>
      </c>
      <c r="C482" s="52">
        <v>0.93351070036640305</v>
      </c>
      <c r="D482" s="52">
        <v>0.90194270566802237</v>
      </c>
      <c r="E482" s="52">
        <v>0.87144222769857238</v>
      </c>
      <c r="F482" s="52">
        <v>0.84197316685852419</v>
      </c>
      <c r="G482" s="52">
        <v>0.81350064430775282</v>
      </c>
      <c r="H482" s="52">
        <v>0.78599096068381913</v>
      </c>
      <c r="I482" s="52">
        <v>0.75941155621625056</v>
      </c>
      <c r="J482" s="52">
        <v>0.73373097218961414</v>
      </c>
      <c r="K482" s="52">
        <v>0.70891881370977217</v>
      </c>
      <c r="L482" s="52">
        <v>0.68494571372924851</v>
      </c>
      <c r="M482" s="52">
        <v>0.66178329828912896</v>
      </c>
      <c r="N482" s="52">
        <v>0.63940415293635666</v>
      </c>
      <c r="O482" s="52">
        <v>0.61778179027667302</v>
      </c>
      <c r="P482" s="52">
        <v>0.59689061862480497</v>
      </c>
      <c r="Q482" s="52">
        <v>0.57670591171478747</v>
      </c>
      <c r="R482" s="52">
        <v>0.55720377943457733</v>
      </c>
      <c r="S482" s="52">
        <v>0.53836113955031628</v>
      </c>
      <c r="T482" s="52">
        <v>0.52015569038677911</v>
      </c>
      <c r="U482" s="52">
        <v>0.50256588443167061</v>
      </c>
      <c r="V482" s="180"/>
      <c r="W482" s="133"/>
    </row>
    <row r="483" spans="1:23">
      <c r="A483" s="50" t="s">
        <v>1069</v>
      </c>
      <c r="B483" s="34">
        <f t="shared" ref="B483:U483" si="461">B482*B481</f>
        <v>1.3043478260869566E-3</v>
      </c>
      <c r="C483" s="34">
        <f t="shared" si="461"/>
        <v>1.2602394454946442E-3</v>
      </c>
      <c r="D483" s="34">
        <f t="shared" si="461"/>
        <v>1.2176226526518302E-3</v>
      </c>
      <c r="E483" s="34">
        <f t="shared" si="461"/>
        <v>1.1764470073930729E-3</v>
      </c>
      <c r="F483" s="34">
        <f t="shared" si="461"/>
        <v>1.1366637752590078E-3</v>
      </c>
      <c r="G483" s="34">
        <f t="shared" si="461"/>
        <v>1.0982258698154664E-3</v>
      </c>
      <c r="H483" s="34">
        <f t="shared" si="461"/>
        <v>1.0610877969231558E-3</v>
      </c>
      <c r="I483" s="34">
        <f t="shared" si="461"/>
        <v>1.0252056008919384E-3</v>
      </c>
      <c r="J483" s="34">
        <f t="shared" si="461"/>
        <v>9.9053681245597921E-4</v>
      </c>
      <c r="K483" s="34">
        <f t="shared" si="461"/>
        <v>9.5704039850819252E-4</v>
      </c>
      <c r="L483" s="34">
        <f t="shared" si="461"/>
        <v>9.2467671353448555E-4</v>
      </c>
      <c r="M483" s="34">
        <f t="shared" si="461"/>
        <v>8.9340745269032417E-4</v>
      </c>
      <c r="N483" s="34">
        <f t="shared" si="461"/>
        <v>8.6319560646408151E-4</v>
      </c>
      <c r="O483" s="34">
        <f t="shared" si="461"/>
        <v>8.3400541687350866E-4</v>
      </c>
      <c r="P483" s="34">
        <f t="shared" si="461"/>
        <v>8.0580233514348674E-4</v>
      </c>
      <c r="Q483" s="34">
        <f t="shared" si="461"/>
        <v>7.7855298081496317E-4</v>
      </c>
      <c r="R483" s="34">
        <f t="shared" si="461"/>
        <v>7.5222510223667944E-4</v>
      </c>
      <c r="S483" s="34">
        <f t="shared" si="461"/>
        <v>7.2678753839292703E-4</v>
      </c>
      <c r="T483" s="34">
        <f t="shared" si="461"/>
        <v>7.0221018202215179E-4</v>
      </c>
      <c r="U483" s="34">
        <f t="shared" si="461"/>
        <v>6.7846394398275538E-4</v>
      </c>
      <c r="V483" s="182">
        <f>SUM(B483:U483)</f>
        <v>1.9186744457635609E-2</v>
      </c>
      <c r="W483" s="35"/>
    </row>
    <row r="484" spans="1:23">
      <c r="A484" s="48"/>
      <c r="B484" s="52"/>
      <c r="C484" s="52"/>
      <c r="D484" s="52"/>
      <c r="E484" s="52"/>
      <c r="F484" s="52"/>
      <c r="G484" s="52"/>
      <c r="H484" s="52"/>
      <c r="I484" s="52"/>
      <c r="J484" s="52"/>
      <c r="K484" s="52"/>
      <c r="L484" s="52"/>
      <c r="M484" s="52"/>
      <c r="N484" s="52"/>
      <c r="O484" s="52"/>
      <c r="P484" s="52"/>
      <c r="Q484" s="52"/>
      <c r="R484" s="52"/>
      <c r="S484" s="52"/>
      <c r="T484" s="52"/>
      <c r="U484" s="52"/>
      <c r="V484" s="180"/>
      <c r="W484" s="133"/>
    </row>
    <row r="485" spans="1:23">
      <c r="A485" s="135" t="s">
        <v>1198</v>
      </c>
      <c r="B485" s="52"/>
      <c r="C485" s="52"/>
      <c r="D485" s="52"/>
      <c r="E485" s="52"/>
      <c r="F485" s="52"/>
      <c r="G485" s="52"/>
      <c r="H485" s="52"/>
      <c r="I485" s="52"/>
      <c r="J485" s="52"/>
      <c r="K485" s="52"/>
      <c r="L485" s="52"/>
      <c r="M485" s="52"/>
      <c r="N485" s="52"/>
      <c r="O485" s="52"/>
      <c r="P485" s="52"/>
      <c r="Q485" s="52"/>
      <c r="R485" s="52"/>
      <c r="S485" s="52"/>
      <c r="T485" s="52"/>
      <c r="U485" s="52"/>
      <c r="V485" s="180"/>
      <c r="W485" s="133"/>
    </row>
    <row r="486" spans="1:23">
      <c r="A486" s="200" t="s">
        <v>679</v>
      </c>
      <c r="B486" s="52">
        <v>0</v>
      </c>
      <c r="C486" s="52">
        <v>0</v>
      </c>
      <c r="D486" s="52">
        <v>0</v>
      </c>
      <c r="E486" s="52">
        <v>0</v>
      </c>
      <c r="F486" s="52">
        <v>0</v>
      </c>
      <c r="G486" s="52">
        <v>0</v>
      </c>
      <c r="H486" s="52">
        <v>0</v>
      </c>
      <c r="I486" s="52">
        <v>0</v>
      </c>
      <c r="J486" s="52">
        <v>0</v>
      </c>
      <c r="K486" s="52">
        <v>0</v>
      </c>
      <c r="L486" s="52">
        <v>0</v>
      </c>
      <c r="M486" s="52">
        <v>0</v>
      </c>
      <c r="N486" s="52">
        <v>0</v>
      </c>
      <c r="O486" s="52">
        <v>0</v>
      </c>
      <c r="P486" s="52">
        <v>0</v>
      </c>
      <c r="Q486" s="52">
        <v>0</v>
      </c>
      <c r="R486" s="52">
        <v>0</v>
      </c>
      <c r="S486" s="52">
        <v>0</v>
      </c>
      <c r="T486" s="52">
        <v>0</v>
      </c>
      <c r="U486" s="52">
        <v>0</v>
      </c>
      <c r="V486" s="180">
        <f>SUM(B486:U486)</f>
        <v>0</v>
      </c>
      <c r="W486" s="133">
        <f>V486/20</f>
        <v>0</v>
      </c>
    </row>
    <row r="487" spans="1:23" s="3" customFormat="1">
      <c r="A487" s="200" t="s">
        <v>680</v>
      </c>
      <c r="B487" s="52">
        <f>('Scenario 2 Assumptions'!$B$279*('Scenario 2 Assumptions'!$B$360*0.5)/20)</f>
        <v>1.6875000000000001E-4</v>
      </c>
      <c r="C487" s="52">
        <f>('Scenario 2 Assumptions'!$B$279*('Scenario 2 Assumptions'!$B$360*0.5)/20)</f>
        <v>1.6875000000000001E-4</v>
      </c>
      <c r="D487" s="52">
        <f>('Scenario 2 Assumptions'!$B$279*('Scenario 2 Assumptions'!$B$360*0.5)/20)</f>
        <v>1.6875000000000001E-4</v>
      </c>
      <c r="E487" s="52">
        <f>('Scenario 2 Assumptions'!$B$279*('Scenario 2 Assumptions'!$B$360*0.5)/20)</f>
        <v>1.6875000000000001E-4</v>
      </c>
      <c r="F487" s="52">
        <f>('Scenario 2 Assumptions'!$B$279*('Scenario 2 Assumptions'!$B$360*0.5)/20)</f>
        <v>1.6875000000000001E-4</v>
      </c>
      <c r="G487" s="52">
        <f>('Scenario 2 Assumptions'!$B$279*('Scenario 2 Assumptions'!$B$360*0.5)/20)</f>
        <v>1.6875000000000001E-4</v>
      </c>
      <c r="H487" s="52">
        <f>('Scenario 2 Assumptions'!$B$279*('Scenario 2 Assumptions'!$B$360*0.5)/20)</f>
        <v>1.6875000000000001E-4</v>
      </c>
      <c r="I487" s="52">
        <f>('Scenario 2 Assumptions'!$B$279*('Scenario 2 Assumptions'!$B$360*0.5)/20)</f>
        <v>1.6875000000000001E-4</v>
      </c>
      <c r="J487" s="52">
        <f>('Scenario 2 Assumptions'!$B$279*('Scenario 2 Assumptions'!$B$360*0.5)/20)</f>
        <v>1.6875000000000001E-4</v>
      </c>
      <c r="K487" s="52">
        <f>('Scenario 2 Assumptions'!$B$279*('Scenario 2 Assumptions'!$B$360*0.5)/20)</f>
        <v>1.6875000000000001E-4</v>
      </c>
      <c r="L487" s="52">
        <f>('Scenario 2 Assumptions'!$B$279*('Scenario 2 Assumptions'!$B$360*0.5)/20)</f>
        <v>1.6875000000000001E-4</v>
      </c>
      <c r="M487" s="52">
        <f>('Scenario 2 Assumptions'!$B$279*('Scenario 2 Assumptions'!$B$360*0.5)/20)</f>
        <v>1.6875000000000001E-4</v>
      </c>
      <c r="N487" s="52">
        <f>('Scenario 2 Assumptions'!$B$279*('Scenario 2 Assumptions'!$B$360*0.5)/20)</f>
        <v>1.6875000000000001E-4</v>
      </c>
      <c r="O487" s="52">
        <f>('Scenario 2 Assumptions'!$B$279*('Scenario 2 Assumptions'!$B$360*0.5)/20)</f>
        <v>1.6875000000000001E-4</v>
      </c>
      <c r="P487" s="52">
        <f>('Scenario 2 Assumptions'!$B$279*('Scenario 2 Assumptions'!$B$360*0.5)/20)</f>
        <v>1.6875000000000001E-4</v>
      </c>
      <c r="Q487" s="52">
        <f>('Scenario 2 Assumptions'!$B$279*('Scenario 2 Assumptions'!$B$360*0.5)/20)</f>
        <v>1.6875000000000001E-4</v>
      </c>
      <c r="R487" s="52">
        <f>('Scenario 2 Assumptions'!$B$279*('Scenario 2 Assumptions'!$B$360*0.5)/20)</f>
        <v>1.6875000000000001E-4</v>
      </c>
      <c r="S487" s="52">
        <f>('Scenario 2 Assumptions'!$B$279*('Scenario 2 Assumptions'!$B$360*0.5)/20)</f>
        <v>1.6875000000000001E-4</v>
      </c>
      <c r="T487" s="52">
        <f>('Scenario 2 Assumptions'!$B$279*('Scenario 2 Assumptions'!$B$360*0.5)/20)</f>
        <v>1.6875000000000001E-4</v>
      </c>
      <c r="U487" s="52">
        <f>('Scenario 2 Assumptions'!$B$279*('Scenario 2 Assumptions'!$B$360*0.5)/20)</f>
        <v>1.6875000000000001E-4</v>
      </c>
      <c r="V487" s="180">
        <f t="shared" ref="V487:V488" si="462">SUM(B487:U487)</f>
        <v>3.3750000000000008E-3</v>
      </c>
      <c r="W487" s="133">
        <f t="shared" ref="W487:W488" si="463">V487/20</f>
        <v>1.6875000000000004E-4</v>
      </c>
    </row>
    <row r="488" spans="1:23" ht="13.5" customHeight="1">
      <c r="A488" s="49" t="s">
        <v>664</v>
      </c>
      <c r="B488" s="34">
        <f>SUM(B486:B487)</f>
        <v>1.6875000000000001E-4</v>
      </c>
      <c r="C488" s="34">
        <f t="shared" ref="C488" si="464">SUM(C486:C487)</f>
        <v>1.6875000000000001E-4</v>
      </c>
      <c r="D488" s="34">
        <f t="shared" ref="D488" si="465">SUM(D486:D487)</f>
        <v>1.6875000000000001E-4</v>
      </c>
      <c r="E488" s="34">
        <f t="shared" ref="E488" si="466">SUM(E486:E487)</f>
        <v>1.6875000000000001E-4</v>
      </c>
      <c r="F488" s="34">
        <f t="shared" ref="F488" si="467">SUM(F486:F487)</f>
        <v>1.6875000000000001E-4</v>
      </c>
      <c r="G488" s="34">
        <f t="shared" ref="G488" si="468">SUM(G486:G487)</f>
        <v>1.6875000000000001E-4</v>
      </c>
      <c r="H488" s="34">
        <f t="shared" ref="H488" si="469">SUM(H486:H487)</f>
        <v>1.6875000000000001E-4</v>
      </c>
      <c r="I488" s="34">
        <f t="shared" ref="I488" si="470">SUM(I486:I487)</f>
        <v>1.6875000000000001E-4</v>
      </c>
      <c r="J488" s="34">
        <f t="shared" ref="J488" si="471">SUM(J486:J487)</f>
        <v>1.6875000000000001E-4</v>
      </c>
      <c r="K488" s="34">
        <f t="shared" ref="K488" si="472">SUM(K486:K487)</f>
        <v>1.6875000000000001E-4</v>
      </c>
      <c r="L488" s="34">
        <f t="shared" ref="L488" si="473">SUM(L486:L487)</f>
        <v>1.6875000000000001E-4</v>
      </c>
      <c r="M488" s="34">
        <f t="shared" ref="M488" si="474">SUM(M486:M487)</f>
        <v>1.6875000000000001E-4</v>
      </c>
      <c r="N488" s="34">
        <f t="shared" ref="N488" si="475">SUM(N486:N487)</f>
        <v>1.6875000000000001E-4</v>
      </c>
      <c r="O488" s="34">
        <f t="shared" ref="O488" si="476">SUM(O486:O487)</f>
        <v>1.6875000000000001E-4</v>
      </c>
      <c r="P488" s="34">
        <f t="shared" ref="P488" si="477">SUM(P486:P487)</f>
        <v>1.6875000000000001E-4</v>
      </c>
      <c r="Q488" s="34">
        <f t="shared" ref="Q488" si="478">SUM(Q486:Q487)</f>
        <v>1.6875000000000001E-4</v>
      </c>
      <c r="R488" s="34">
        <f t="shared" ref="R488" si="479">SUM(R486:R487)</f>
        <v>1.6875000000000001E-4</v>
      </c>
      <c r="S488" s="34">
        <f t="shared" ref="S488" si="480">SUM(S486:S487)</f>
        <v>1.6875000000000001E-4</v>
      </c>
      <c r="T488" s="34">
        <f t="shared" ref="T488" si="481">SUM(T486:T487)</f>
        <v>1.6875000000000001E-4</v>
      </c>
      <c r="U488" s="34">
        <f t="shared" ref="U488" si="482">SUM(U486:U487)</f>
        <v>1.6875000000000001E-4</v>
      </c>
      <c r="V488" s="180">
        <f t="shared" si="462"/>
        <v>3.3750000000000008E-3</v>
      </c>
      <c r="W488" s="133">
        <f t="shared" si="463"/>
        <v>1.6875000000000004E-4</v>
      </c>
    </row>
    <row r="489" spans="1:23" s="81" customFormat="1">
      <c r="A489" s="134" t="s">
        <v>123</v>
      </c>
      <c r="B489" s="52">
        <v>0.96618357487922713</v>
      </c>
      <c r="C489" s="52">
        <v>0.93351070036640305</v>
      </c>
      <c r="D489" s="52">
        <v>0.90194270566802237</v>
      </c>
      <c r="E489" s="52">
        <v>0.87144222769857238</v>
      </c>
      <c r="F489" s="52">
        <v>0.84197316685852419</v>
      </c>
      <c r="G489" s="52">
        <v>0.81350064430775282</v>
      </c>
      <c r="H489" s="52">
        <v>0.78599096068381913</v>
      </c>
      <c r="I489" s="52">
        <v>0.75941155621625056</v>
      </c>
      <c r="J489" s="52">
        <v>0.73373097218961414</v>
      </c>
      <c r="K489" s="52">
        <v>0.70891881370977217</v>
      </c>
      <c r="L489" s="52">
        <v>0.68494571372924851</v>
      </c>
      <c r="M489" s="52">
        <v>0.66178329828912896</v>
      </c>
      <c r="N489" s="52">
        <v>0.63940415293635666</v>
      </c>
      <c r="O489" s="52">
        <v>0.61778179027667302</v>
      </c>
      <c r="P489" s="52">
        <v>0.59689061862480497</v>
      </c>
      <c r="Q489" s="52">
        <v>0.57670591171478747</v>
      </c>
      <c r="R489" s="52">
        <v>0.55720377943457733</v>
      </c>
      <c r="S489" s="52">
        <v>0.53836113955031628</v>
      </c>
      <c r="T489" s="52">
        <v>0.52015569038677911</v>
      </c>
      <c r="U489" s="52">
        <v>0.50256588443167061</v>
      </c>
      <c r="V489" s="180"/>
      <c r="W489" s="133"/>
    </row>
    <row r="490" spans="1:23">
      <c r="A490" s="50" t="s">
        <v>1069</v>
      </c>
      <c r="B490" s="34">
        <f t="shared" ref="B490:U490" si="483">B489*B488</f>
        <v>1.6304347826086958E-4</v>
      </c>
      <c r="C490" s="34">
        <f t="shared" si="483"/>
        <v>1.5752993068683053E-4</v>
      </c>
      <c r="D490" s="34">
        <f t="shared" si="483"/>
        <v>1.5220283158147877E-4</v>
      </c>
      <c r="E490" s="34">
        <f t="shared" si="483"/>
        <v>1.4705587592413411E-4</v>
      </c>
      <c r="F490" s="34">
        <f t="shared" si="483"/>
        <v>1.4208297190737598E-4</v>
      </c>
      <c r="G490" s="34">
        <f t="shared" si="483"/>
        <v>1.372782337269333E-4</v>
      </c>
      <c r="H490" s="34">
        <f t="shared" si="483"/>
        <v>1.3263597461539447E-4</v>
      </c>
      <c r="I490" s="34">
        <f t="shared" si="483"/>
        <v>1.281507001114923E-4</v>
      </c>
      <c r="J490" s="34">
        <f t="shared" si="483"/>
        <v>1.238171015569974E-4</v>
      </c>
      <c r="K490" s="34">
        <f t="shared" si="483"/>
        <v>1.1963004981352407E-4</v>
      </c>
      <c r="L490" s="34">
        <f t="shared" si="483"/>
        <v>1.1558458919181069E-4</v>
      </c>
      <c r="M490" s="34">
        <f t="shared" si="483"/>
        <v>1.1167593158629052E-4</v>
      </c>
      <c r="N490" s="34">
        <f t="shared" si="483"/>
        <v>1.0789945080801019E-4</v>
      </c>
      <c r="O490" s="34">
        <f t="shared" si="483"/>
        <v>1.0425067710918858E-4</v>
      </c>
      <c r="P490" s="34">
        <f t="shared" si="483"/>
        <v>1.0072529189293584E-4</v>
      </c>
      <c r="Q490" s="34">
        <f t="shared" si="483"/>
        <v>9.7319122601870396E-5</v>
      </c>
      <c r="R490" s="34">
        <f t="shared" si="483"/>
        <v>9.402813777958493E-5</v>
      </c>
      <c r="S490" s="34">
        <f t="shared" si="483"/>
        <v>9.0848442299115879E-5</v>
      </c>
      <c r="T490" s="34">
        <f t="shared" si="483"/>
        <v>8.7776272752768973E-5</v>
      </c>
      <c r="U490" s="34">
        <f t="shared" si="483"/>
        <v>8.4807992997844422E-5</v>
      </c>
      <c r="V490" s="182">
        <f>SUM(B490:U490)</f>
        <v>2.3983430572044511E-3</v>
      </c>
      <c r="W490" s="35"/>
    </row>
    <row r="491" spans="1:23">
      <c r="A491" s="48"/>
      <c r="B491" s="52"/>
      <c r="C491" s="52"/>
      <c r="D491" s="52"/>
      <c r="E491" s="52"/>
      <c r="F491" s="52"/>
      <c r="G491" s="52"/>
      <c r="H491" s="52"/>
      <c r="I491" s="52"/>
      <c r="J491" s="52"/>
      <c r="K491" s="52"/>
      <c r="L491" s="52"/>
      <c r="M491" s="52"/>
      <c r="N491" s="52"/>
      <c r="O491" s="52"/>
      <c r="P491" s="52"/>
      <c r="Q491" s="52"/>
      <c r="R491" s="52"/>
      <c r="S491" s="52"/>
      <c r="T491" s="52"/>
      <c r="U491" s="52"/>
      <c r="V491" s="180"/>
      <c r="W491" s="53"/>
    </row>
    <row r="492" spans="1:23">
      <c r="A492" s="135" t="s">
        <v>1094</v>
      </c>
      <c r="B492" s="52"/>
      <c r="C492" s="52"/>
      <c r="D492" s="52"/>
      <c r="E492" s="52"/>
      <c r="F492" s="52"/>
      <c r="G492" s="52"/>
      <c r="H492" s="52"/>
      <c r="I492" s="52"/>
      <c r="J492" s="52"/>
      <c r="K492" s="52"/>
      <c r="L492" s="52"/>
      <c r="M492" s="52"/>
      <c r="N492" s="52"/>
      <c r="O492" s="52"/>
      <c r="P492" s="52"/>
      <c r="Q492" s="52"/>
      <c r="R492" s="52"/>
      <c r="S492" s="52"/>
      <c r="T492" s="52"/>
      <c r="U492" s="52"/>
      <c r="V492" s="180"/>
      <c r="W492" s="53"/>
    </row>
    <row r="493" spans="1:23">
      <c r="A493" s="200" t="s">
        <v>679</v>
      </c>
      <c r="B493" s="52">
        <f>B$16+B$22</f>
        <v>24.00675</v>
      </c>
      <c r="C493" s="52">
        <f t="shared" ref="C493:U493" si="484">C$16+C$22</f>
        <v>0</v>
      </c>
      <c r="D493" s="52">
        <f t="shared" si="484"/>
        <v>0</v>
      </c>
      <c r="E493" s="52">
        <f t="shared" si="484"/>
        <v>0</v>
      </c>
      <c r="F493" s="52">
        <f t="shared" si="484"/>
        <v>0</v>
      </c>
      <c r="G493" s="52">
        <f t="shared" si="484"/>
        <v>0</v>
      </c>
      <c r="H493" s="52">
        <f t="shared" si="484"/>
        <v>0</v>
      </c>
      <c r="I493" s="52">
        <f t="shared" si="484"/>
        <v>0</v>
      </c>
      <c r="J493" s="52">
        <f t="shared" si="484"/>
        <v>0</v>
      </c>
      <c r="K493" s="52">
        <f t="shared" si="484"/>
        <v>0</v>
      </c>
      <c r="L493" s="52">
        <f t="shared" si="484"/>
        <v>0</v>
      </c>
      <c r="M493" s="52">
        <f t="shared" si="484"/>
        <v>0</v>
      </c>
      <c r="N493" s="52">
        <f t="shared" si="484"/>
        <v>0</v>
      </c>
      <c r="O493" s="52">
        <f t="shared" si="484"/>
        <v>0</v>
      </c>
      <c r="P493" s="52">
        <f t="shared" si="484"/>
        <v>0</v>
      </c>
      <c r="Q493" s="52">
        <f t="shared" si="484"/>
        <v>0</v>
      </c>
      <c r="R493" s="52">
        <f t="shared" si="484"/>
        <v>0</v>
      </c>
      <c r="S493" s="52">
        <f t="shared" si="484"/>
        <v>0</v>
      </c>
      <c r="T493" s="52">
        <f t="shared" si="484"/>
        <v>0</v>
      </c>
      <c r="U493" s="52">
        <f t="shared" si="484"/>
        <v>0</v>
      </c>
      <c r="V493" s="180">
        <f>SUM(B493:U493)</f>
        <v>24.00675</v>
      </c>
      <c r="W493" s="53">
        <f>V493/20</f>
        <v>1.2003375000000001</v>
      </c>
    </row>
    <row r="494" spans="1:23" s="3" customFormat="1">
      <c r="A494" s="200" t="s">
        <v>680</v>
      </c>
      <c r="B494" s="52">
        <f>('Scenario 2 Assumptions'!$B$279*('Scenario 2 Assumptions'!$B$361*0.5)/20)+$B$53</f>
        <v>3.6165840517241386E-2</v>
      </c>
      <c r="C494" s="52">
        <f>('Scenario 2 Assumptions'!$B$279*('Scenario 2 Assumptions'!$B$361*0.5)/20)+$B$53</f>
        <v>3.6165840517241386E-2</v>
      </c>
      <c r="D494" s="52">
        <f>('Scenario 2 Assumptions'!$B$279*('Scenario 2 Assumptions'!$B$361*0.5)/20)+$B$53</f>
        <v>3.6165840517241386E-2</v>
      </c>
      <c r="E494" s="52">
        <f>('Scenario 2 Assumptions'!$B$279*('Scenario 2 Assumptions'!$B$361*0.5)/20)+$B$53</f>
        <v>3.6165840517241386E-2</v>
      </c>
      <c r="F494" s="52">
        <f>('Scenario 2 Assumptions'!$B$279*('Scenario 2 Assumptions'!$B$361*0.5)/20)+$B$53</f>
        <v>3.6165840517241386E-2</v>
      </c>
      <c r="G494" s="52">
        <f>('Scenario 2 Assumptions'!$B$279*('Scenario 2 Assumptions'!$B$361*0.5)/20)+$B$53</f>
        <v>3.6165840517241386E-2</v>
      </c>
      <c r="H494" s="52">
        <f>('Scenario 2 Assumptions'!$B$279*('Scenario 2 Assumptions'!$B$361*0.5)/20)+$B$53</f>
        <v>3.6165840517241386E-2</v>
      </c>
      <c r="I494" s="52">
        <f>('Scenario 2 Assumptions'!$B$279*('Scenario 2 Assumptions'!$B$361*0.5)/20)+$B$53</f>
        <v>3.6165840517241386E-2</v>
      </c>
      <c r="J494" s="52">
        <f>('Scenario 2 Assumptions'!$B$279*('Scenario 2 Assumptions'!$B$361*0.5)/20)+$B$53</f>
        <v>3.6165840517241386E-2</v>
      </c>
      <c r="K494" s="52">
        <f>('Scenario 2 Assumptions'!$B$279*('Scenario 2 Assumptions'!$B$361*0.5)/20)+$B$53</f>
        <v>3.6165840517241386E-2</v>
      </c>
      <c r="L494" s="52">
        <f>('Scenario 2 Assumptions'!$B$279*('Scenario 2 Assumptions'!$B$361*0.5)/20)+$B$53</f>
        <v>3.6165840517241386E-2</v>
      </c>
      <c r="M494" s="52">
        <f>('Scenario 2 Assumptions'!$B$279*('Scenario 2 Assumptions'!$B$361*0.5)/20)+$B$53</f>
        <v>3.6165840517241386E-2</v>
      </c>
      <c r="N494" s="52">
        <f>('Scenario 2 Assumptions'!$B$279*('Scenario 2 Assumptions'!$B$361*0.5)/20)+$B$53</f>
        <v>3.6165840517241386E-2</v>
      </c>
      <c r="O494" s="52">
        <f>('Scenario 2 Assumptions'!$B$279*('Scenario 2 Assumptions'!$B$361*0.5)/20)+$B$53</f>
        <v>3.6165840517241386E-2</v>
      </c>
      <c r="P494" s="52">
        <f>('Scenario 2 Assumptions'!$B$279*('Scenario 2 Assumptions'!$B$361*0.5)/20)+$B$53</f>
        <v>3.6165840517241386E-2</v>
      </c>
      <c r="Q494" s="52">
        <f>('Scenario 2 Assumptions'!$B$279*('Scenario 2 Assumptions'!$B$361*0.5)/20)+$B$53</f>
        <v>3.6165840517241386E-2</v>
      </c>
      <c r="R494" s="52">
        <f>('Scenario 2 Assumptions'!$B$279*('Scenario 2 Assumptions'!$B$361*0.5)/20)+$B$53</f>
        <v>3.6165840517241386E-2</v>
      </c>
      <c r="S494" s="52">
        <f>('Scenario 2 Assumptions'!$B$279*('Scenario 2 Assumptions'!$B$361*0.5)/20)+$B$53</f>
        <v>3.6165840517241386E-2</v>
      </c>
      <c r="T494" s="52">
        <f>('Scenario 2 Assumptions'!$B$279*('Scenario 2 Assumptions'!$B$361*0.5)/20)+$B$53</f>
        <v>3.6165840517241386E-2</v>
      </c>
      <c r="U494" s="52">
        <f>('Scenario 2 Assumptions'!$B$279*('Scenario 2 Assumptions'!$B$361*0.5)/20)+$B$53</f>
        <v>3.6165840517241386E-2</v>
      </c>
      <c r="V494" s="180">
        <f t="shared" ref="V494:V495" si="485">SUM(B494:U494)</f>
        <v>0.72331681034482753</v>
      </c>
      <c r="W494" s="53">
        <f t="shared" ref="W494:W495" si="486">V494/20</f>
        <v>3.6165840517241379E-2</v>
      </c>
    </row>
    <row r="495" spans="1:23" ht="13.5" customHeight="1">
      <c r="A495" s="49" t="s">
        <v>664</v>
      </c>
      <c r="B495" s="34">
        <f>SUM(B493:B494)</f>
        <v>24.042915840517242</v>
      </c>
      <c r="C495" s="34">
        <f t="shared" ref="C495" si="487">SUM(C493:C494)</f>
        <v>3.6165840517241386E-2</v>
      </c>
      <c r="D495" s="34">
        <f t="shared" ref="D495" si="488">SUM(D493:D494)</f>
        <v>3.6165840517241386E-2</v>
      </c>
      <c r="E495" s="34">
        <f t="shared" ref="E495" si="489">SUM(E493:E494)</f>
        <v>3.6165840517241386E-2</v>
      </c>
      <c r="F495" s="34">
        <f t="shared" ref="F495" si="490">SUM(F493:F494)</f>
        <v>3.6165840517241386E-2</v>
      </c>
      <c r="G495" s="34">
        <f t="shared" ref="G495" si="491">SUM(G493:G494)</f>
        <v>3.6165840517241386E-2</v>
      </c>
      <c r="H495" s="34">
        <f t="shared" ref="H495" si="492">SUM(H493:H494)</f>
        <v>3.6165840517241386E-2</v>
      </c>
      <c r="I495" s="34">
        <f t="shared" ref="I495" si="493">SUM(I493:I494)</f>
        <v>3.6165840517241386E-2</v>
      </c>
      <c r="J495" s="34">
        <f t="shared" ref="J495" si="494">SUM(J493:J494)</f>
        <v>3.6165840517241386E-2</v>
      </c>
      <c r="K495" s="34">
        <f t="shared" ref="K495" si="495">SUM(K493:K494)</f>
        <v>3.6165840517241386E-2</v>
      </c>
      <c r="L495" s="34">
        <f t="shared" ref="L495" si="496">SUM(L493:L494)</f>
        <v>3.6165840517241386E-2</v>
      </c>
      <c r="M495" s="34">
        <f t="shared" ref="M495" si="497">SUM(M493:M494)</f>
        <v>3.6165840517241386E-2</v>
      </c>
      <c r="N495" s="34">
        <f t="shared" ref="N495" si="498">SUM(N493:N494)</f>
        <v>3.6165840517241386E-2</v>
      </c>
      <c r="O495" s="34">
        <f t="shared" ref="O495" si="499">SUM(O493:O494)</f>
        <v>3.6165840517241386E-2</v>
      </c>
      <c r="P495" s="34">
        <f t="shared" ref="P495" si="500">SUM(P493:P494)</f>
        <v>3.6165840517241386E-2</v>
      </c>
      <c r="Q495" s="34">
        <f t="shared" ref="Q495" si="501">SUM(Q493:Q494)</f>
        <v>3.6165840517241386E-2</v>
      </c>
      <c r="R495" s="34">
        <f t="shared" ref="R495" si="502">SUM(R493:R494)</f>
        <v>3.6165840517241386E-2</v>
      </c>
      <c r="S495" s="34">
        <f t="shared" ref="S495" si="503">SUM(S493:S494)</f>
        <v>3.6165840517241386E-2</v>
      </c>
      <c r="T495" s="34">
        <f t="shared" ref="T495" si="504">SUM(T493:T494)</f>
        <v>3.6165840517241386E-2</v>
      </c>
      <c r="U495" s="34">
        <f t="shared" ref="U495" si="505">SUM(U493:U494)</f>
        <v>3.6165840517241386E-2</v>
      </c>
      <c r="V495" s="180">
        <f t="shared" si="485"/>
        <v>24.730066810344841</v>
      </c>
      <c r="W495" s="53">
        <f t="shared" si="486"/>
        <v>1.2365033405172421</v>
      </c>
    </row>
    <row r="496" spans="1:23" s="81" customFormat="1">
      <c r="A496" s="134" t="s">
        <v>123</v>
      </c>
      <c r="B496" s="52">
        <v>0.96618357487922713</v>
      </c>
      <c r="C496" s="52">
        <v>0.93351070036640305</v>
      </c>
      <c r="D496" s="52">
        <v>0.90194270566802237</v>
      </c>
      <c r="E496" s="52">
        <v>0.87144222769857238</v>
      </c>
      <c r="F496" s="52">
        <v>0.84197316685852419</v>
      </c>
      <c r="G496" s="52">
        <v>0.81350064430775282</v>
      </c>
      <c r="H496" s="52">
        <v>0.78599096068381913</v>
      </c>
      <c r="I496" s="52">
        <v>0.75941155621625056</v>
      </c>
      <c r="J496" s="52">
        <v>0.73373097218961414</v>
      </c>
      <c r="K496" s="52">
        <v>0.70891881370977217</v>
      </c>
      <c r="L496" s="52">
        <v>0.68494571372924851</v>
      </c>
      <c r="M496" s="52">
        <v>0.66178329828912896</v>
      </c>
      <c r="N496" s="52">
        <v>0.63940415293635666</v>
      </c>
      <c r="O496" s="52">
        <v>0.61778179027667302</v>
      </c>
      <c r="P496" s="52">
        <v>0.59689061862480497</v>
      </c>
      <c r="Q496" s="52">
        <v>0.57670591171478747</v>
      </c>
      <c r="R496" s="52">
        <v>0.55720377943457733</v>
      </c>
      <c r="S496" s="52">
        <v>0.53836113955031628</v>
      </c>
      <c r="T496" s="52">
        <v>0.52015569038677911</v>
      </c>
      <c r="U496" s="52">
        <v>0.50256588443167061</v>
      </c>
      <c r="V496" s="180"/>
      <c r="W496" s="133"/>
    </row>
    <row r="497" spans="1:23">
      <c r="A497" s="50" t="s">
        <v>1069</v>
      </c>
      <c r="B497" s="34">
        <f t="shared" ref="B497:U497" si="506">B496*B495</f>
        <v>23.229870377311347</v>
      </c>
      <c r="C497" s="34">
        <f t="shared" si="506"/>
        <v>3.376119911058964E-2</v>
      </c>
      <c r="D497" s="34">
        <f t="shared" si="506"/>
        <v>3.2619516048878888E-2</v>
      </c>
      <c r="E497" s="34">
        <f t="shared" si="506"/>
        <v>3.1516440626936121E-2</v>
      </c>
      <c r="F497" s="34">
        <f t="shared" si="506"/>
        <v>3.0450667272402056E-2</v>
      </c>
      <c r="G497" s="34">
        <f t="shared" si="506"/>
        <v>2.94209345627073E-2</v>
      </c>
      <c r="H497" s="34">
        <f t="shared" si="506"/>
        <v>2.8426023732084346E-2</v>
      </c>
      <c r="I497" s="34">
        <f t="shared" si="506"/>
        <v>2.7464757229067008E-2</v>
      </c>
      <c r="J497" s="34">
        <f t="shared" si="506"/>
        <v>2.6535997322770059E-2</v>
      </c>
      <c r="K497" s="34">
        <f t="shared" si="506"/>
        <v>2.5638644756299577E-2</v>
      </c>
      <c r="L497" s="34">
        <f t="shared" si="506"/>
        <v>2.4771637445700077E-2</v>
      </c>
      <c r="M497" s="34">
        <f t="shared" si="506"/>
        <v>2.3933949222898623E-2</v>
      </c>
      <c r="N497" s="34">
        <f t="shared" si="506"/>
        <v>2.3124588621158095E-2</v>
      </c>
      <c r="O497" s="34">
        <f t="shared" si="506"/>
        <v>2.2342597701602022E-2</v>
      </c>
      <c r="P497" s="34">
        <f t="shared" si="506"/>
        <v>2.1587050919422247E-2</v>
      </c>
      <c r="Q497" s="34">
        <f t="shared" si="506"/>
        <v>2.0857054028427295E-2</v>
      </c>
      <c r="R497" s="34">
        <f t="shared" si="506"/>
        <v>2.0151743022635071E-2</v>
      </c>
      <c r="S497" s="34">
        <f t="shared" si="506"/>
        <v>1.9470283113657071E-2</v>
      </c>
      <c r="T497" s="34">
        <f t="shared" si="506"/>
        <v>1.8811867742663843E-2</v>
      </c>
      <c r="U497" s="34">
        <f t="shared" si="506"/>
        <v>1.8175717625762165E-2</v>
      </c>
      <c r="V497" s="182">
        <f>SUM(B497:U497)</f>
        <v>23.708931047417003</v>
      </c>
      <c r="W497" s="35"/>
    </row>
    <row r="498" spans="1:23">
      <c r="A498" s="48"/>
      <c r="B498" s="52"/>
      <c r="C498" s="52"/>
      <c r="D498" s="52"/>
      <c r="E498" s="52"/>
      <c r="F498" s="52"/>
      <c r="G498" s="52"/>
      <c r="H498" s="52"/>
      <c r="I498" s="52"/>
      <c r="J498" s="52"/>
      <c r="K498" s="52"/>
      <c r="L498" s="52"/>
      <c r="M498" s="52"/>
      <c r="N498" s="52"/>
      <c r="O498" s="52"/>
      <c r="P498" s="52"/>
      <c r="Q498" s="52"/>
      <c r="R498" s="52"/>
      <c r="S498" s="52"/>
      <c r="T498" s="52"/>
      <c r="U498" s="52"/>
      <c r="V498" s="180"/>
      <c r="W498" s="53"/>
    </row>
    <row r="499" spans="1:23">
      <c r="A499" s="135" t="s">
        <v>1095</v>
      </c>
      <c r="B499" s="52"/>
      <c r="C499" s="52"/>
      <c r="D499" s="52"/>
      <c r="E499" s="52"/>
      <c r="F499" s="52"/>
      <c r="G499" s="52"/>
      <c r="H499" s="52"/>
      <c r="I499" s="52"/>
      <c r="J499" s="52"/>
      <c r="K499" s="52"/>
      <c r="L499" s="52"/>
      <c r="M499" s="52"/>
      <c r="N499" s="52"/>
      <c r="O499" s="52"/>
      <c r="P499" s="52"/>
      <c r="Q499" s="52"/>
      <c r="R499" s="52"/>
      <c r="S499" s="52"/>
      <c r="T499" s="52"/>
      <c r="U499" s="52"/>
      <c r="V499" s="180"/>
      <c r="W499" s="53"/>
    </row>
    <row r="500" spans="1:23">
      <c r="A500" s="200" t="s">
        <v>679</v>
      </c>
      <c r="B500" s="52">
        <v>0</v>
      </c>
      <c r="C500" s="52">
        <v>0</v>
      </c>
      <c r="D500" s="52">
        <v>0</v>
      </c>
      <c r="E500" s="52">
        <v>0</v>
      </c>
      <c r="F500" s="52">
        <v>0</v>
      </c>
      <c r="G500" s="52">
        <v>0</v>
      </c>
      <c r="H500" s="52">
        <v>0</v>
      </c>
      <c r="I500" s="52">
        <v>0</v>
      </c>
      <c r="J500" s="52">
        <v>0</v>
      </c>
      <c r="K500" s="52">
        <v>0</v>
      </c>
      <c r="L500" s="52">
        <v>0</v>
      </c>
      <c r="M500" s="52">
        <v>0</v>
      </c>
      <c r="N500" s="52">
        <v>0</v>
      </c>
      <c r="O500" s="52">
        <v>0</v>
      </c>
      <c r="P500" s="52">
        <v>0</v>
      </c>
      <c r="Q500" s="52">
        <v>0</v>
      </c>
      <c r="R500" s="52">
        <v>0</v>
      </c>
      <c r="S500" s="52">
        <v>0</v>
      </c>
      <c r="T500" s="52">
        <v>0</v>
      </c>
      <c r="U500" s="52">
        <v>0</v>
      </c>
      <c r="V500" s="180">
        <f>SUM(B500:U500)</f>
        <v>0</v>
      </c>
      <c r="W500" s="53">
        <f>V500/20</f>
        <v>0</v>
      </c>
    </row>
    <row r="501" spans="1:23" s="3" customFormat="1">
      <c r="A501" s="200" t="s">
        <v>680</v>
      </c>
      <c r="B501" s="52">
        <f>('Scenario 2 Assumptions'!$B$279*('Scenario 2 Assumptions'!$B$362*0.5)/20)+B43</f>
        <v>6.4124999999999998E-3</v>
      </c>
      <c r="C501" s="52">
        <f>('Scenario 2 Assumptions'!$B$279*('Scenario 2 Assumptions'!$B$362*0.5)/20)+C43</f>
        <v>6.4124999999999998E-3</v>
      </c>
      <c r="D501" s="52">
        <f>('Scenario 2 Assumptions'!$B$279*('Scenario 2 Assumptions'!$B$362*0.5)/20)+D43</f>
        <v>6.4124999999999998E-3</v>
      </c>
      <c r="E501" s="52">
        <f>('Scenario 2 Assumptions'!$B$279*('Scenario 2 Assumptions'!$B$362*0.5)/20)+E43</f>
        <v>6.4124999999999998E-3</v>
      </c>
      <c r="F501" s="52">
        <f>('Scenario 2 Assumptions'!$B$279*('Scenario 2 Assumptions'!$B$362*0.5)/20)+F43</f>
        <v>6.4124999999999998E-3</v>
      </c>
      <c r="G501" s="52">
        <f>('Scenario 2 Assumptions'!$B$279*('Scenario 2 Assumptions'!$B$362*0.5)/20)+G43</f>
        <v>6.4124999999999998E-3</v>
      </c>
      <c r="H501" s="52">
        <f>('Scenario 2 Assumptions'!$B$279*('Scenario 2 Assumptions'!$B$362*0.5)/20)+H43</f>
        <v>6.4124999999999998E-3</v>
      </c>
      <c r="I501" s="52">
        <f>('Scenario 2 Assumptions'!$B$279*('Scenario 2 Assumptions'!$B$362*0.5)/20)+I43</f>
        <v>6.4124999999999998E-3</v>
      </c>
      <c r="J501" s="52">
        <f>('Scenario 2 Assumptions'!$B$279*('Scenario 2 Assumptions'!$B$362*0.5)/20)+J43</f>
        <v>6.4124999999999998E-3</v>
      </c>
      <c r="K501" s="52">
        <f>('Scenario 2 Assumptions'!$B$279*('Scenario 2 Assumptions'!$B$362*0.5)/20)+K43</f>
        <v>6.4124999999999998E-3</v>
      </c>
      <c r="L501" s="52">
        <f>('Scenario 2 Assumptions'!$B$279*('Scenario 2 Assumptions'!$B$362*0.5)/20)+L43</f>
        <v>6.4124999999999998E-3</v>
      </c>
      <c r="M501" s="52">
        <f>('Scenario 2 Assumptions'!$B$279*('Scenario 2 Assumptions'!$B$362*0.5)/20)+M43</f>
        <v>6.4124999999999998E-3</v>
      </c>
      <c r="N501" s="52">
        <f>('Scenario 2 Assumptions'!$B$279*('Scenario 2 Assumptions'!$B$362*0.5)/20)+N43</f>
        <v>6.4124999999999998E-3</v>
      </c>
      <c r="O501" s="52">
        <f>('Scenario 2 Assumptions'!$B$279*('Scenario 2 Assumptions'!$B$362*0.5)/20)+O43</f>
        <v>6.4124999999999998E-3</v>
      </c>
      <c r="P501" s="52">
        <f>('Scenario 2 Assumptions'!$B$279*('Scenario 2 Assumptions'!$B$362*0.5)/20)+P43</f>
        <v>6.4124999999999998E-3</v>
      </c>
      <c r="Q501" s="52">
        <f>('Scenario 2 Assumptions'!$B$279*('Scenario 2 Assumptions'!$B$362*0.5)/20)+Q43</f>
        <v>6.4124999999999998E-3</v>
      </c>
      <c r="R501" s="52">
        <f>('Scenario 2 Assumptions'!$B$279*('Scenario 2 Assumptions'!$B$362*0.5)/20)+R43</f>
        <v>6.4124999999999998E-3</v>
      </c>
      <c r="S501" s="52">
        <f>('Scenario 2 Assumptions'!$B$279*('Scenario 2 Assumptions'!$B$362*0.5)/20)+S43</f>
        <v>6.4124999999999998E-3</v>
      </c>
      <c r="T501" s="52">
        <f>('Scenario 2 Assumptions'!$B$279*('Scenario 2 Assumptions'!$B$362*0.5)/20)+T43</f>
        <v>6.4124999999999998E-3</v>
      </c>
      <c r="U501" s="52">
        <f>('Scenario 2 Assumptions'!$B$279*('Scenario 2 Assumptions'!$B$362*0.5)/20)+U43</f>
        <v>6.4124999999999998E-3</v>
      </c>
      <c r="V501" s="180">
        <f t="shared" ref="V501:V502" si="507">SUM(B501:U501)</f>
        <v>0.12825</v>
      </c>
      <c r="W501" s="53">
        <f t="shared" ref="W501:W502" si="508">V501/20</f>
        <v>6.4124999999999998E-3</v>
      </c>
    </row>
    <row r="502" spans="1:23" ht="13.5" customHeight="1">
      <c r="A502" s="49" t="s">
        <v>664</v>
      </c>
      <c r="B502" s="34">
        <f>SUM(B500:B501)</f>
        <v>6.4124999999999998E-3</v>
      </c>
      <c r="C502" s="34">
        <f t="shared" ref="C502" si="509">SUM(C500:C501)</f>
        <v>6.4124999999999998E-3</v>
      </c>
      <c r="D502" s="34">
        <f t="shared" ref="D502" si="510">SUM(D500:D501)</f>
        <v>6.4124999999999998E-3</v>
      </c>
      <c r="E502" s="34">
        <f t="shared" ref="E502" si="511">SUM(E500:E501)</f>
        <v>6.4124999999999998E-3</v>
      </c>
      <c r="F502" s="34">
        <f t="shared" ref="F502" si="512">SUM(F500:F501)</f>
        <v>6.4124999999999998E-3</v>
      </c>
      <c r="G502" s="34">
        <f t="shared" ref="G502" si="513">SUM(G500:G501)</f>
        <v>6.4124999999999998E-3</v>
      </c>
      <c r="H502" s="34">
        <f t="shared" ref="H502" si="514">SUM(H500:H501)</f>
        <v>6.4124999999999998E-3</v>
      </c>
      <c r="I502" s="34">
        <f t="shared" ref="I502" si="515">SUM(I500:I501)</f>
        <v>6.4124999999999998E-3</v>
      </c>
      <c r="J502" s="34">
        <f t="shared" ref="J502" si="516">SUM(J500:J501)</f>
        <v>6.4124999999999998E-3</v>
      </c>
      <c r="K502" s="34">
        <f t="shared" ref="K502" si="517">SUM(K500:K501)</f>
        <v>6.4124999999999998E-3</v>
      </c>
      <c r="L502" s="34">
        <f t="shared" ref="L502" si="518">SUM(L500:L501)</f>
        <v>6.4124999999999998E-3</v>
      </c>
      <c r="M502" s="34">
        <f t="shared" ref="M502" si="519">SUM(M500:M501)</f>
        <v>6.4124999999999998E-3</v>
      </c>
      <c r="N502" s="34">
        <f t="shared" ref="N502" si="520">SUM(N500:N501)</f>
        <v>6.4124999999999998E-3</v>
      </c>
      <c r="O502" s="34">
        <f t="shared" ref="O502" si="521">SUM(O500:O501)</f>
        <v>6.4124999999999998E-3</v>
      </c>
      <c r="P502" s="34">
        <f t="shared" ref="P502" si="522">SUM(P500:P501)</f>
        <v>6.4124999999999998E-3</v>
      </c>
      <c r="Q502" s="34">
        <f t="shared" ref="Q502" si="523">SUM(Q500:Q501)</f>
        <v>6.4124999999999998E-3</v>
      </c>
      <c r="R502" s="34">
        <f t="shared" ref="R502" si="524">SUM(R500:R501)</f>
        <v>6.4124999999999998E-3</v>
      </c>
      <c r="S502" s="34">
        <f t="shared" ref="S502" si="525">SUM(S500:S501)</f>
        <v>6.4124999999999998E-3</v>
      </c>
      <c r="T502" s="34">
        <f t="shared" ref="T502" si="526">SUM(T500:T501)</f>
        <v>6.4124999999999998E-3</v>
      </c>
      <c r="U502" s="34">
        <f t="shared" ref="U502" si="527">SUM(U500:U501)</f>
        <v>6.4124999999999998E-3</v>
      </c>
      <c r="V502" s="180">
        <f t="shared" si="507"/>
        <v>0.12825</v>
      </c>
      <c r="W502" s="53">
        <f t="shared" si="508"/>
        <v>6.4124999999999998E-3</v>
      </c>
    </row>
    <row r="503" spans="1:23" s="81" customFormat="1">
      <c r="A503" s="134" t="s">
        <v>123</v>
      </c>
      <c r="B503" s="52">
        <v>0.96618357487922713</v>
      </c>
      <c r="C503" s="52">
        <v>0.93351070036640305</v>
      </c>
      <c r="D503" s="52">
        <v>0.90194270566802237</v>
      </c>
      <c r="E503" s="52">
        <v>0.87144222769857238</v>
      </c>
      <c r="F503" s="52">
        <v>0.84197316685852419</v>
      </c>
      <c r="G503" s="52">
        <v>0.81350064430775282</v>
      </c>
      <c r="H503" s="52">
        <v>0.78599096068381913</v>
      </c>
      <c r="I503" s="52">
        <v>0.75941155621625056</v>
      </c>
      <c r="J503" s="52">
        <v>0.73373097218961414</v>
      </c>
      <c r="K503" s="52">
        <v>0.70891881370977217</v>
      </c>
      <c r="L503" s="52">
        <v>0.68494571372924851</v>
      </c>
      <c r="M503" s="52">
        <v>0.66178329828912896</v>
      </c>
      <c r="N503" s="52">
        <v>0.63940415293635666</v>
      </c>
      <c r="O503" s="52">
        <v>0.61778179027667302</v>
      </c>
      <c r="P503" s="52">
        <v>0.59689061862480497</v>
      </c>
      <c r="Q503" s="52">
        <v>0.57670591171478747</v>
      </c>
      <c r="R503" s="52">
        <v>0.55720377943457733</v>
      </c>
      <c r="S503" s="52">
        <v>0.53836113955031628</v>
      </c>
      <c r="T503" s="52">
        <v>0.52015569038677911</v>
      </c>
      <c r="U503" s="52">
        <v>0.50256588443167061</v>
      </c>
      <c r="V503" s="180"/>
      <c r="W503" s="133"/>
    </row>
    <row r="504" spans="1:23">
      <c r="A504" s="50" t="s">
        <v>1069</v>
      </c>
      <c r="B504" s="34">
        <f t="shared" ref="B504:U504" si="528">B503*B502</f>
        <v>6.195652173913044E-3</v>
      </c>
      <c r="C504" s="34">
        <f t="shared" si="528"/>
        <v>5.9861373660995594E-3</v>
      </c>
      <c r="D504" s="34">
        <f t="shared" si="528"/>
        <v>5.7837076000961931E-3</v>
      </c>
      <c r="E504" s="34">
        <f t="shared" si="528"/>
        <v>5.5881232851170953E-3</v>
      </c>
      <c r="F504" s="34">
        <f t="shared" si="528"/>
        <v>5.3991529324802865E-3</v>
      </c>
      <c r="G504" s="34">
        <f t="shared" si="528"/>
        <v>5.2165728816234644E-3</v>
      </c>
      <c r="H504" s="34">
        <f t="shared" si="528"/>
        <v>5.04016703538499E-3</v>
      </c>
      <c r="I504" s="34">
        <f t="shared" si="528"/>
        <v>4.8697266042367062E-3</v>
      </c>
      <c r="J504" s="34">
        <f t="shared" si="528"/>
        <v>4.7050498591659001E-3</v>
      </c>
      <c r="K504" s="34">
        <f t="shared" si="528"/>
        <v>4.5459418929139142E-3</v>
      </c>
      <c r="L504" s="34">
        <f t="shared" si="528"/>
        <v>4.3922143892888062E-3</v>
      </c>
      <c r="M504" s="34">
        <f t="shared" si="528"/>
        <v>4.2436854002790396E-3</v>
      </c>
      <c r="N504" s="34">
        <f t="shared" si="528"/>
        <v>4.1001791307043872E-3</v>
      </c>
      <c r="O504" s="34">
        <f t="shared" si="528"/>
        <v>3.9615257301491656E-3</v>
      </c>
      <c r="P504" s="34">
        <f t="shared" si="528"/>
        <v>3.8275610919315619E-3</v>
      </c>
      <c r="Q504" s="34">
        <f t="shared" si="528"/>
        <v>3.6981266588710744E-3</v>
      </c>
      <c r="R504" s="34">
        <f t="shared" si="528"/>
        <v>3.5730692356242271E-3</v>
      </c>
      <c r="S504" s="34">
        <f t="shared" si="528"/>
        <v>3.452240807366403E-3</v>
      </c>
      <c r="T504" s="34">
        <f t="shared" si="528"/>
        <v>3.3354983646052211E-3</v>
      </c>
      <c r="U504" s="34">
        <f t="shared" si="528"/>
        <v>3.2227037339180877E-3</v>
      </c>
      <c r="V504" s="182">
        <f>SUM(B504:U504)</f>
        <v>9.1137036173769156E-2</v>
      </c>
      <c r="W504" s="35"/>
    </row>
    <row r="505" spans="1:23">
      <c r="A505" s="48"/>
      <c r="B505" s="52"/>
      <c r="C505" s="52"/>
      <c r="D505" s="52"/>
      <c r="E505" s="52"/>
      <c r="F505" s="52"/>
      <c r="G505" s="52"/>
      <c r="H505" s="52"/>
      <c r="I505" s="52"/>
      <c r="J505" s="52"/>
      <c r="K505" s="52"/>
      <c r="L505" s="52"/>
      <c r="M505" s="52"/>
      <c r="N505" s="52"/>
      <c r="O505" s="52"/>
      <c r="P505" s="52"/>
      <c r="Q505" s="52"/>
      <c r="R505" s="52"/>
      <c r="S505" s="52"/>
      <c r="T505" s="52"/>
      <c r="U505" s="52"/>
      <c r="V505" s="180"/>
      <c r="W505" s="53"/>
    </row>
    <row r="506" spans="1:23">
      <c r="A506" s="135" t="s">
        <v>1197</v>
      </c>
      <c r="B506" s="52"/>
      <c r="C506" s="52"/>
      <c r="D506" s="52"/>
      <c r="E506" s="52"/>
      <c r="F506" s="52"/>
      <c r="G506" s="52"/>
      <c r="H506" s="52"/>
      <c r="I506" s="52"/>
      <c r="J506" s="52"/>
      <c r="K506" s="52"/>
      <c r="L506" s="52"/>
      <c r="M506" s="52"/>
      <c r="N506" s="52"/>
      <c r="O506" s="52"/>
      <c r="P506" s="52"/>
      <c r="Q506" s="52"/>
      <c r="R506" s="52"/>
      <c r="S506" s="52"/>
      <c r="T506" s="52"/>
      <c r="U506" s="52"/>
      <c r="V506" s="180"/>
      <c r="W506" s="53"/>
    </row>
    <row r="507" spans="1:23">
      <c r="A507" s="200" t="s">
        <v>679</v>
      </c>
      <c r="B507" s="52">
        <v>0</v>
      </c>
      <c r="C507" s="52">
        <v>0</v>
      </c>
      <c r="D507" s="52">
        <v>0</v>
      </c>
      <c r="E507" s="52">
        <v>0</v>
      </c>
      <c r="F507" s="52">
        <v>0</v>
      </c>
      <c r="G507" s="52">
        <v>0</v>
      </c>
      <c r="H507" s="52">
        <v>0</v>
      </c>
      <c r="I507" s="52">
        <v>0</v>
      </c>
      <c r="J507" s="52">
        <v>0</v>
      </c>
      <c r="K507" s="52">
        <v>0</v>
      </c>
      <c r="L507" s="52">
        <v>0</v>
      </c>
      <c r="M507" s="52">
        <v>0</v>
      </c>
      <c r="N507" s="52">
        <v>0</v>
      </c>
      <c r="O507" s="52">
        <v>0</v>
      </c>
      <c r="P507" s="52">
        <v>0</v>
      </c>
      <c r="Q507" s="52">
        <v>0</v>
      </c>
      <c r="R507" s="52">
        <v>0</v>
      </c>
      <c r="S507" s="52">
        <v>0</v>
      </c>
      <c r="T507" s="52">
        <v>0</v>
      </c>
      <c r="U507" s="52">
        <v>0</v>
      </c>
      <c r="V507" s="180">
        <f>SUM(B507:U507)</f>
        <v>0</v>
      </c>
      <c r="W507" s="53">
        <f>V507/20</f>
        <v>0</v>
      </c>
    </row>
    <row r="508" spans="1:23" s="3" customFormat="1">
      <c r="A508" s="200" t="s">
        <v>680</v>
      </c>
      <c r="B508" s="52">
        <f>('Scenario 2 Assumptions'!$B$279*('Scenario 2 Assumptions'!$B$363*0.5)/20)</f>
        <v>1.6875000000000001E-4</v>
      </c>
      <c r="C508" s="52">
        <f>('Scenario 2 Assumptions'!$B$279*('Scenario 2 Assumptions'!$B$363*0.5)/20)</f>
        <v>1.6875000000000001E-4</v>
      </c>
      <c r="D508" s="52">
        <f>('Scenario 2 Assumptions'!$B$279*('Scenario 2 Assumptions'!$B$363*0.5)/20)</f>
        <v>1.6875000000000001E-4</v>
      </c>
      <c r="E508" s="52">
        <f>('Scenario 2 Assumptions'!$B$279*('Scenario 2 Assumptions'!$B$363*0.5)/20)</f>
        <v>1.6875000000000001E-4</v>
      </c>
      <c r="F508" s="52">
        <f>('Scenario 2 Assumptions'!$B$279*('Scenario 2 Assumptions'!$B$363*0.5)/20)</f>
        <v>1.6875000000000001E-4</v>
      </c>
      <c r="G508" s="52">
        <f>('Scenario 2 Assumptions'!$B$279*('Scenario 2 Assumptions'!$B$363*0.5)/20)</f>
        <v>1.6875000000000001E-4</v>
      </c>
      <c r="H508" s="52">
        <f>('Scenario 2 Assumptions'!$B$279*('Scenario 2 Assumptions'!$B$363*0.5)/20)</f>
        <v>1.6875000000000001E-4</v>
      </c>
      <c r="I508" s="52">
        <f>('Scenario 2 Assumptions'!$B$279*('Scenario 2 Assumptions'!$B$363*0.5)/20)</f>
        <v>1.6875000000000001E-4</v>
      </c>
      <c r="J508" s="52">
        <f>('Scenario 2 Assumptions'!$B$279*('Scenario 2 Assumptions'!$B$363*0.5)/20)</f>
        <v>1.6875000000000001E-4</v>
      </c>
      <c r="K508" s="52">
        <f>('Scenario 2 Assumptions'!$B$279*('Scenario 2 Assumptions'!$B$363*0.5)/20)</f>
        <v>1.6875000000000001E-4</v>
      </c>
      <c r="L508" s="52">
        <f>('Scenario 2 Assumptions'!$B$279*('Scenario 2 Assumptions'!$B$363*0.5)/20)</f>
        <v>1.6875000000000001E-4</v>
      </c>
      <c r="M508" s="52">
        <f>('Scenario 2 Assumptions'!$B$279*('Scenario 2 Assumptions'!$B$363*0.5)/20)</f>
        <v>1.6875000000000001E-4</v>
      </c>
      <c r="N508" s="52">
        <f>('Scenario 2 Assumptions'!$B$279*('Scenario 2 Assumptions'!$B$363*0.5)/20)</f>
        <v>1.6875000000000001E-4</v>
      </c>
      <c r="O508" s="52">
        <f>('Scenario 2 Assumptions'!$B$279*('Scenario 2 Assumptions'!$B$363*0.5)/20)</f>
        <v>1.6875000000000001E-4</v>
      </c>
      <c r="P508" s="52">
        <f>('Scenario 2 Assumptions'!$B$279*('Scenario 2 Assumptions'!$B$363*0.5)/20)</f>
        <v>1.6875000000000001E-4</v>
      </c>
      <c r="Q508" s="52">
        <f>('Scenario 2 Assumptions'!$B$279*('Scenario 2 Assumptions'!$B$363*0.5)/20)</f>
        <v>1.6875000000000001E-4</v>
      </c>
      <c r="R508" s="52">
        <f>('Scenario 2 Assumptions'!$B$279*('Scenario 2 Assumptions'!$B$363*0.5)/20)</f>
        <v>1.6875000000000001E-4</v>
      </c>
      <c r="S508" s="52">
        <f>('Scenario 2 Assumptions'!$B$279*('Scenario 2 Assumptions'!$B$363*0.5)/20)</f>
        <v>1.6875000000000001E-4</v>
      </c>
      <c r="T508" s="52">
        <f>('Scenario 2 Assumptions'!$B$279*('Scenario 2 Assumptions'!$B$363*0.5)/20)</f>
        <v>1.6875000000000001E-4</v>
      </c>
      <c r="U508" s="52">
        <f>('Scenario 2 Assumptions'!$B$279*('Scenario 2 Assumptions'!$B$363*0.5)/20)</f>
        <v>1.6875000000000001E-4</v>
      </c>
      <c r="V508" s="180">
        <f t="shared" ref="V508:V509" si="529">SUM(B508:U508)</f>
        <v>3.3750000000000008E-3</v>
      </c>
      <c r="W508" s="53">
        <f t="shared" ref="W508:W509" si="530">V508/20</f>
        <v>1.6875000000000004E-4</v>
      </c>
    </row>
    <row r="509" spans="1:23" ht="13.5" customHeight="1">
      <c r="A509" s="49" t="s">
        <v>664</v>
      </c>
      <c r="B509" s="34">
        <f>SUM(B507:B508)</f>
        <v>1.6875000000000001E-4</v>
      </c>
      <c r="C509" s="34">
        <f t="shared" ref="C509" si="531">SUM(C507:C508)</f>
        <v>1.6875000000000001E-4</v>
      </c>
      <c r="D509" s="34">
        <f t="shared" ref="D509" si="532">SUM(D507:D508)</f>
        <v>1.6875000000000001E-4</v>
      </c>
      <c r="E509" s="34">
        <f t="shared" ref="E509" si="533">SUM(E507:E508)</f>
        <v>1.6875000000000001E-4</v>
      </c>
      <c r="F509" s="34">
        <f t="shared" ref="F509" si="534">SUM(F507:F508)</f>
        <v>1.6875000000000001E-4</v>
      </c>
      <c r="G509" s="34">
        <f t="shared" ref="G509" si="535">SUM(G507:G508)</f>
        <v>1.6875000000000001E-4</v>
      </c>
      <c r="H509" s="34">
        <f t="shared" ref="H509" si="536">SUM(H507:H508)</f>
        <v>1.6875000000000001E-4</v>
      </c>
      <c r="I509" s="34">
        <f t="shared" ref="I509" si="537">SUM(I507:I508)</f>
        <v>1.6875000000000001E-4</v>
      </c>
      <c r="J509" s="34">
        <f t="shared" ref="J509" si="538">SUM(J507:J508)</f>
        <v>1.6875000000000001E-4</v>
      </c>
      <c r="K509" s="34">
        <f t="shared" ref="K509" si="539">SUM(K507:K508)</f>
        <v>1.6875000000000001E-4</v>
      </c>
      <c r="L509" s="34">
        <f t="shared" ref="L509" si="540">SUM(L507:L508)</f>
        <v>1.6875000000000001E-4</v>
      </c>
      <c r="M509" s="34">
        <f t="shared" ref="M509" si="541">SUM(M507:M508)</f>
        <v>1.6875000000000001E-4</v>
      </c>
      <c r="N509" s="34">
        <f t="shared" ref="N509" si="542">SUM(N507:N508)</f>
        <v>1.6875000000000001E-4</v>
      </c>
      <c r="O509" s="34">
        <f t="shared" ref="O509" si="543">SUM(O507:O508)</f>
        <v>1.6875000000000001E-4</v>
      </c>
      <c r="P509" s="34">
        <f t="shared" ref="P509" si="544">SUM(P507:P508)</f>
        <v>1.6875000000000001E-4</v>
      </c>
      <c r="Q509" s="34">
        <f t="shared" ref="Q509" si="545">SUM(Q507:Q508)</f>
        <v>1.6875000000000001E-4</v>
      </c>
      <c r="R509" s="34">
        <f t="shared" ref="R509" si="546">SUM(R507:R508)</f>
        <v>1.6875000000000001E-4</v>
      </c>
      <c r="S509" s="34">
        <f t="shared" ref="S509" si="547">SUM(S507:S508)</f>
        <v>1.6875000000000001E-4</v>
      </c>
      <c r="T509" s="34">
        <f t="shared" ref="T509" si="548">SUM(T507:T508)</f>
        <v>1.6875000000000001E-4</v>
      </c>
      <c r="U509" s="34">
        <f t="shared" ref="U509" si="549">SUM(U507:U508)</f>
        <v>1.6875000000000001E-4</v>
      </c>
      <c r="V509" s="180">
        <f t="shared" si="529"/>
        <v>3.3750000000000008E-3</v>
      </c>
      <c r="W509" s="53">
        <f t="shared" si="530"/>
        <v>1.6875000000000004E-4</v>
      </c>
    </row>
    <row r="510" spans="1:23" s="81" customFormat="1">
      <c r="A510" s="134" t="s">
        <v>123</v>
      </c>
      <c r="B510" s="52">
        <v>0.96618357487922713</v>
      </c>
      <c r="C510" s="52">
        <v>0.93351070036640305</v>
      </c>
      <c r="D510" s="52">
        <v>0.90194270566802237</v>
      </c>
      <c r="E510" s="52">
        <v>0.87144222769857238</v>
      </c>
      <c r="F510" s="52">
        <v>0.84197316685852419</v>
      </c>
      <c r="G510" s="52">
        <v>0.81350064430775282</v>
      </c>
      <c r="H510" s="52">
        <v>0.78599096068381913</v>
      </c>
      <c r="I510" s="52">
        <v>0.75941155621625056</v>
      </c>
      <c r="J510" s="52">
        <v>0.73373097218961414</v>
      </c>
      <c r="K510" s="52">
        <v>0.70891881370977217</v>
      </c>
      <c r="L510" s="52">
        <v>0.68494571372924851</v>
      </c>
      <c r="M510" s="52">
        <v>0.66178329828912896</v>
      </c>
      <c r="N510" s="52">
        <v>0.63940415293635666</v>
      </c>
      <c r="O510" s="52">
        <v>0.61778179027667302</v>
      </c>
      <c r="P510" s="52">
        <v>0.59689061862480497</v>
      </c>
      <c r="Q510" s="52">
        <v>0.57670591171478747</v>
      </c>
      <c r="R510" s="52">
        <v>0.55720377943457733</v>
      </c>
      <c r="S510" s="52">
        <v>0.53836113955031628</v>
      </c>
      <c r="T510" s="52">
        <v>0.52015569038677911</v>
      </c>
      <c r="U510" s="52">
        <v>0.50256588443167061</v>
      </c>
      <c r="V510" s="180"/>
      <c r="W510" s="133"/>
    </row>
    <row r="511" spans="1:23">
      <c r="A511" s="50" t="s">
        <v>1069</v>
      </c>
      <c r="B511" s="34">
        <f t="shared" ref="B511:U511" si="550">B510*B509</f>
        <v>1.6304347826086958E-4</v>
      </c>
      <c r="C511" s="34">
        <f t="shared" si="550"/>
        <v>1.5752993068683053E-4</v>
      </c>
      <c r="D511" s="34">
        <f t="shared" si="550"/>
        <v>1.5220283158147877E-4</v>
      </c>
      <c r="E511" s="34">
        <f t="shared" si="550"/>
        <v>1.4705587592413411E-4</v>
      </c>
      <c r="F511" s="34">
        <f t="shared" si="550"/>
        <v>1.4208297190737598E-4</v>
      </c>
      <c r="G511" s="34">
        <f t="shared" si="550"/>
        <v>1.372782337269333E-4</v>
      </c>
      <c r="H511" s="34">
        <f t="shared" si="550"/>
        <v>1.3263597461539447E-4</v>
      </c>
      <c r="I511" s="34">
        <f t="shared" si="550"/>
        <v>1.281507001114923E-4</v>
      </c>
      <c r="J511" s="34">
        <f t="shared" si="550"/>
        <v>1.238171015569974E-4</v>
      </c>
      <c r="K511" s="34">
        <f t="shared" si="550"/>
        <v>1.1963004981352407E-4</v>
      </c>
      <c r="L511" s="34">
        <f t="shared" si="550"/>
        <v>1.1558458919181069E-4</v>
      </c>
      <c r="M511" s="34">
        <f t="shared" si="550"/>
        <v>1.1167593158629052E-4</v>
      </c>
      <c r="N511" s="34">
        <f t="shared" si="550"/>
        <v>1.0789945080801019E-4</v>
      </c>
      <c r="O511" s="34">
        <f t="shared" si="550"/>
        <v>1.0425067710918858E-4</v>
      </c>
      <c r="P511" s="34">
        <f t="shared" si="550"/>
        <v>1.0072529189293584E-4</v>
      </c>
      <c r="Q511" s="34">
        <f t="shared" si="550"/>
        <v>9.7319122601870396E-5</v>
      </c>
      <c r="R511" s="34">
        <f t="shared" si="550"/>
        <v>9.402813777958493E-5</v>
      </c>
      <c r="S511" s="34">
        <f t="shared" si="550"/>
        <v>9.0848442299115879E-5</v>
      </c>
      <c r="T511" s="34">
        <f t="shared" si="550"/>
        <v>8.7776272752768973E-5</v>
      </c>
      <c r="U511" s="34">
        <f t="shared" si="550"/>
        <v>8.4807992997844422E-5</v>
      </c>
      <c r="V511" s="182">
        <f>SUM(B511:U511)</f>
        <v>2.3983430572044511E-3</v>
      </c>
      <c r="W511" s="35"/>
    </row>
    <row r="512" spans="1:23">
      <c r="A512" s="48"/>
      <c r="B512" s="52"/>
      <c r="C512" s="52"/>
      <c r="D512" s="52"/>
      <c r="E512" s="52"/>
      <c r="F512" s="52"/>
      <c r="G512" s="52"/>
      <c r="H512" s="52"/>
      <c r="I512" s="52"/>
      <c r="J512" s="52"/>
      <c r="K512" s="52"/>
      <c r="L512" s="52"/>
      <c r="M512" s="52"/>
      <c r="N512" s="52"/>
      <c r="O512" s="52"/>
      <c r="P512" s="52"/>
      <c r="Q512" s="52"/>
      <c r="R512" s="52"/>
      <c r="S512" s="52"/>
      <c r="T512" s="52"/>
      <c r="U512" s="52"/>
      <c r="V512" s="180"/>
      <c r="W512" s="53"/>
    </row>
    <row r="513" spans="1:23">
      <c r="A513" s="135" t="s">
        <v>1096</v>
      </c>
      <c r="B513" s="52"/>
      <c r="C513" s="52"/>
      <c r="D513" s="52"/>
      <c r="E513" s="52"/>
      <c r="F513" s="52"/>
      <c r="G513" s="52"/>
      <c r="H513" s="52"/>
      <c r="I513" s="52"/>
      <c r="J513" s="52"/>
      <c r="K513" s="52"/>
      <c r="L513" s="52"/>
      <c r="M513" s="52"/>
      <c r="N513" s="52"/>
      <c r="O513" s="52"/>
      <c r="P513" s="52"/>
      <c r="Q513" s="52"/>
      <c r="R513" s="52"/>
      <c r="S513" s="52"/>
      <c r="T513" s="52"/>
      <c r="U513" s="52"/>
      <c r="V513" s="180"/>
      <c r="W513" s="53"/>
    </row>
    <row r="514" spans="1:23">
      <c r="A514" s="200" t="s">
        <v>679</v>
      </c>
      <c r="B514" s="52">
        <v>0</v>
      </c>
      <c r="C514" s="52">
        <v>0</v>
      </c>
      <c r="D514" s="52">
        <v>0</v>
      </c>
      <c r="E514" s="52">
        <v>0</v>
      </c>
      <c r="F514" s="52">
        <v>0</v>
      </c>
      <c r="G514" s="52">
        <v>0</v>
      </c>
      <c r="H514" s="52">
        <v>0</v>
      </c>
      <c r="I514" s="52">
        <v>0</v>
      </c>
      <c r="J514" s="52">
        <v>0</v>
      </c>
      <c r="K514" s="52">
        <v>0</v>
      </c>
      <c r="L514" s="52">
        <v>0</v>
      </c>
      <c r="M514" s="52">
        <v>0</v>
      </c>
      <c r="N514" s="52">
        <v>0</v>
      </c>
      <c r="O514" s="52">
        <v>0</v>
      </c>
      <c r="P514" s="52">
        <v>0</v>
      </c>
      <c r="Q514" s="52">
        <v>0</v>
      </c>
      <c r="R514" s="52">
        <v>0</v>
      </c>
      <c r="S514" s="52">
        <v>0</v>
      </c>
      <c r="T514" s="52">
        <v>0</v>
      </c>
      <c r="U514" s="52">
        <v>0</v>
      </c>
      <c r="V514" s="180">
        <f>SUM(B514:U514)</f>
        <v>0</v>
      </c>
      <c r="W514" s="53">
        <f>V514/20</f>
        <v>0</v>
      </c>
    </row>
    <row r="515" spans="1:23" s="3" customFormat="1">
      <c r="A515" s="200" t="s">
        <v>680</v>
      </c>
      <c r="B515" s="52">
        <f>('Scenario 2 Assumptions'!$B$279*('Scenario 2 Assumptions'!$B$364*0.5)/20)+B29</f>
        <v>1.3331249999999999E-2</v>
      </c>
      <c r="C515" s="52">
        <f>('Scenario 2 Assumptions'!$B$279*('Scenario 2 Assumptions'!$B$364*0.5)/20)+C29</f>
        <v>1.3331249999999999E-2</v>
      </c>
      <c r="D515" s="52">
        <f>('Scenario 2 Assumptions'!$B$279*('Scenario 2 Assumptions'!$B$364*0.5)/20)+D29</f>
        <v>1.3331249999999999E-2</v>
      </c>
      <c r="E515" s="52">
        <f>('Scenario 2 Assumptions'!$B$279*('Scenario 2 Assumptions'!$B$364*0.5)/20)+E29</f>
        <v>1.3331249999999999E-2</v>
      </c>
      <c r="F515" s="52">
        <f>('Scenario 2 Assumptions'!$B$279*('Scenario 2 Assumptions'!$B$364*0.5)/20)+F29</f>
        <v>1.3331249999999999E-2</v>
      </c>
      <c r="G515" s="52">
        <f>('Scenario 2 Assumptions'!$B$279*('Scenario 2 Assumptions'!$B$364*0.5)/20)+G29</f>
        <v>1.3331249999999999E-2</v>
      </c>
      <c r="H515" s="52">
        <f>('Scenario 2 Assumptions'!$B$279*('Scenario 2 Assumptions'!$B$364*0.5)/20)+H29</f>
        <v>1.3331249999999999E-2</v>
      </c>
      <c r="I515" s="52">
        <f>('Scenario 2 Assumptions'!$B$279*('Scenario 2 Assumptions'!$B$364*0.5)/20)+I29</f>
        <v>1.3331249999999999E-2</v>
      </c>
      <c r="J515" s="52">
        <f>('Scenario 2 Assumptions'!$B$279*('Scenario 2 Assumptions'!$B$364*0.5)/20)+J29</f>
        <v>1.3331249999999999E-2</v>
      </c>
      <c r="K515" s="52">
        <f>('Scenario 2 Assumptions'!$B$279*('Scenario 2 Assumptions'!$B$364*0.5)/20)+K29</f>
        <v>1.3331249999999999E-2</v>
      </c>
      <c r="L515" s="52">
        <f>('Scenario 2 Assumptions'!$B$279*('Scenario 2 Assumptions'!$B$364*0.5)/20)+L29</f>
        <v>1.3331249999999999E-2</v>
      </c>
      <c r="M515" s="52">
        <f>('Scenario 2 Assumptions'!$B$279*('Scenario 2 Assumptions'!$B$364*0.5)/20)+M29</f>
        <v>1.3331249999999999E-2</v>
      </c>
      <c r="N515" s="52">
        <f>('Scenario 2 Assumptions'!$B$279*('Scenario 2 Assumptions'!$B$364*0.5)/20)+N29</f>
        <v>1.3331249999999999E-2</v>
      </c>
      <c r="O515" s="52">
        <f>('Scenario 2 Assumptions'!$B$279*('Scenario 2 Assumptions'!$B$364*0.5)/20)+O29</f>
        <v>1.3331249999999999E-2</v>
      </c>
      <c r="P515" s="52">
        <f>('Scenario 2 Assumptions'!$B$279*('Scenario 2 Assumptions'!$B$364*0.5)/20)+P29</f>
        <v>1.3331249999999999E-2</v>
      </c>
      <c r="Q515" s="52">
        <f>('Scenario 2 Assumptions'!$B$279*('Scenario 2 Assumptions'!$B$364*0.5)/20)+Q29</f>
        <v>1.3331249999999999E-2</v>
      </c>
      <c r="R515" s="52">
        <f>('Scenario 2 Assumptions'!$B$279*('Scenario 2 Assumptions'!$B$364*0.5)/20)+R29</f>
        <v>1.3331249999999999E-2</v>
      </c>
      <c r="S515" s="52">
        <f>('Scenario 2 Assumptions'!$B$279*('Scenario 2 Assumptions'!$B$364*0.5)/20)+S29</f>
        <v>1.3331249999999999E-2</v>
      </c>
      <c r="T515" s="52">
        <f>('Scenario 2 Assumptions'!$B$279*('Scenario 2 Assumptions'!$B$364*0.5)/20)+T29</f>
        <v>1.3331249999999999E-2</v>
      </c>
      <c r="U515" s="52">
        <f>('Scenario 2 Assumptions'!$B$279*('Scenario 2 Assumptions'!$B$364*0.5)/20)+U29</f>
        <v>1.3331249999999999E-2</v>
      </c>
      <c r="V515" s="180">
        <f t="shared" ref="V515:V516" si="551">SUM(B515:U515)</f>
        <v>0.26662499999999995</v>
      </c>
      <c r="W515" s="53">
        <f t="shared" ref="W515:W516" si="552">V515/20</f>
        <v>1.3331249999999998E-2</v>
      </c>
    </row>
    <row r="516" spans="1:23" ht="13.5" customHeight="1">
      <c r="A516" s="49" t="s">
        <v>664</v>
      </c>
      <c r="B516" s="34">
        <f>SUM(B514:B515)</f>
        <v>1.3331249999999999E-2</v>
      </c>
      <c r="C516" s="34">
        <f t="shared" ref="C516" si="553">SUM(C514:C515)</f>
        <v>1.3331249999999999E-2</v>
      </c>
      <c r="D516" s="34">
        <f t="shared" ref="D516" si="554">SUM(D514:D515)</f>
        <v>1.3331249999999999E-2</v>
      </c>
      <c r="E516" s="34">
        <f t="shared" ref="E516" si="555">SUM(E514:E515)</f>
        <v>1.3331249999999999E-2</v>
      </c>
      <c r="F516" s="34">
        <f t="shared" ref="F516" si="556">SUM(F514:F515)</f>
        <v>1.3331249999999999E-2</v>
      </c>
      <c r="G516" s="34">
        <f t="shared" ref="G516" si="557">SUM(G514:G515)</f>
        <v>1.3331249999999999E-2</v>
      </c>
      <c r="H516" s="34">
        <f t="shared" ref="H516" si="558">SUM(H514:H515)</f>
        <v>1.3331249999999999E-2</v>
      </c>
      <c r="I516" s="34">
        <f t="shared" ref="I516" si="559">SUM(I514:I515)</f>
        <v>1.3331249999999999E-2</v>
      </c>
      <c r="J516" s="34">
        <f t="shared" ref="J516" si="560">SUM(J514:J515)</f>
        <v>1.3331249999999999E-2</v>
      </c>
      <c r="K516" s="34">
        <f t="shared" ref="K516" si="561">SUM(K514:K515)</f>
        <v>1.3331249999999999E-2</v>
      </c>
      <c r="L516" s="34">
        <f t="shared" ref="L516" si="562">SUM(L514:L515)</f>
        <v>1.3331249999999999E-2</v>
      </c>
      <c r="M516" s="34">
        <f t="shared" ref="M516" si="563">SUM(M514:M515)</f>
        <v>1.3331249999999999E-2</v>
      </c>
      <c r="N516" s="34">
        <f t="shared" ref="N516" si="564">SUM(N514:N515)</f>
        <v>1.3331249999999999E-2</v>
      </c>
      <c r="O516" s="34">
        <f t="shared" ref="O516" si="565">SUM(O514:O515)</f>
        <v>1.3331249999999999E-2</v>
      </c>
      <c r="P516" s="34">
        <f t="shared" ref="P516" si="566">SUM(P514:P515)</f>
        <v>1.3331249999999999E-2</v>
      </c>
      <c r="Q516" s="34">
        <f t="shared" ref="Q516" si="567">SUM(Q514:Q515)</f>
        <v>1.3331249999999999E-2</v>
      </c>
      <c r="R516" s="34">
        <f t="shared" ref="R516" si="568">SUM(R514:R515)</f>
        <v>1.3331249999999999E-2</v>
      </c>
      <c r="S516" s="34">
        <f t="shared" ref="S516" si="569">SUM(S514:S515)</f>
        <v>1.3331249999999999E-2</v>
      </c>
      <c r="T516" s="34">
        <f t="shared" ref="T516" si="570">SUM(T514:T515)</f>
        <v>1.3331249999999999E-2</v>
      </c>
      <c r="U516" s="34">
        <f t="shared" ref="U516" si="571">SUM(U514:U515)</f>
        <v>1.3331249999999999E-2</v>
      </c>
      <c r="V516" s="180">
        <f t="shared" si="551"/>
        <v>0.26662499999999995</v>
      </c>
      <c r="W516" s="53">
        <f t="shared" si="552"/>
        <v>1.3331249999999998E-2</v>
      </c>
    </row>
    <row r="517" spans="1:23" s="81" customFormat="1">
      <c r="A517" s="134" t="s">
        <v>123</v>
      </c>
      <c r="B517" s="52">
        <v>0.96618357487922713</v>
      </c>
      <c r="C517" s="52">
        <v>0.93351070036640305</v>
      </c>
      <c r="D517" s="52">
        <v>0.90194270566802237</v>
      </c>
      <c r="E517" s="52">
        <v>0.87144222769857238</v>
      </c>
      <c r="F517" s="52">
        <v>0.84197316685852419</v>
      </c>
      <c r="G517" s="52">
        <v>0.81350064430775282</v>
      </c>
      <c r="H517" s="52">
        <v>0.78599096068381913</v>
      </c>
      <c r="I517" s="52">
        <v>0.75941155621625056</v>
      </c>
      <c r="J517" s="52">
        <v>0.73373097218961414</v>
      </c>
      <c r="K517" s="52">
        <v>0.70891881370977217</v>
      </c>
      <c r="L517" s="52">
        <v>0.68494571372924851</v>
      </c>
      <c r="M517" s="52">
        <v>0.66178329828912896</v>
      </c>
      <c r="N517" s="52">
        <v>0.63940415293635666</v>
      </c>
      <c r="O517" s="52">
        <v>0.61778179027667302</v>
      </c>
      <c r="P517" s="52">
        <v>0.59689061862480497</v>
      </c>
      <c r="Q517" s="52">
        <v>0.57670591171478747</v>
      </c>
      <c r="R517" s="52">
        <v>0.55720377943457733</v>
      </c>
      <c r="S517" s="52">
        <v>0.53836113955031628</v>
      </c>
      <c r="T517" s="52">
        <v>0.52015569038677911</v>
      </c>
      <c r="U517" s="52">
        <v>0.50256588443167061</v>
      </c>
      <c r="V517" s="180"/>
      <c r="W517" s="133"/>
    </row>
    <row r="518" spans="1:23">
      <c r="A518" s="50" t="s">
        <v>1069</v>
      </c>
      <c r="B518" s="34">
        <f t="shared" ref="B518:U518" si="572">B517*B516</f>
        <v>1.2880434782608696E-2</v>
      </c>
      <c r="C518" s="34">
        <f t="shared" si="572"/>
        <v>1.244486452425961E-2</v>
      </c>
      <c r="D518" s="34">
        <f t="shared" si="572"/>
        <v>1.2024023694936823E-2</v>
      </c>
      <c r="E518" s="34">
        <f t="shared" si="572"/>
        <v>1.1617414198006593E-2</v>
      </c>
      <c r="F518" s="34">
        <f t="shared" si="572"/>
        <v>1.12245547806827E-2</v>
      </c>
      <c r="G518" s="34">
        <f t="shared" si="572"/>
        <v>1.084498046442773E-2</v>
      </c>
      <c r="H518" s="34">
        <f t="shared" si="572"/>
        <v>1.0478241994616163E-2</v>
      </c>
      <c r="I518" s="34">
        <f t="shared" si="572"/>
        <v>1.012390530880789E-2</v>
      </c>
      <c r="J518" s="34">
        <f t="shared" si="572"/>
        <v>9.7815510230027936E-3</v>
      </c>
      <c r="K518" s="34">
        <f t="shared" si="572"/>
        <v>9.4507739352684E-3</v>
      </c>
      <c r="L518" s="34">
        <f t="shared" si="572"/>
        <v>9.1311825461530445E-3</v>
      </c>
      <c r="M518" s="34">
        <f t="shared" si="572"/>
        <v>8.8223985953169506E-3</v>
      </c>
      <c r="N518" s="34">
        <f t="shared" si="572"/>
        <v>8.5240566138328044E-3</v>
      </c>
      <c r="O518" s="34">
        <f t="shared" si="572"/>
        <v>8.2358034916258961E-3</v>
      </c>
      <c r="P518" s="34">
        <f t="shared" si="572"/>
        <v>7.9572980595419302E-3</v>
      </c>
      <c r="Q518" s="34">
        <f t="shared" si="572"/>
        <v>7.6882106855477601E-3</v>
      </c>
      <c r="R518" s="34">
        <f t="shared" si="572"/>
        <v>7.428222884587209E-3</v>
      </c>
      <c r="S518" s="34">
        <f t="shared" si="572"/>
        <v>7.1770269416301536E-3</v>
      </c>
      <c r="T518" s="34">
        <f t="shared" si="572"/>
        <v>6.934325547468749E-3</v>
      </c>
      <c r="U518" s="34">
        <f t="shared" si="572"/>
        <v>6.6998314468297085E-3</v>
      </c>
      <c r="V518" s="182">
        <f>SUM(B518:U518)</f>
        <v>0.18946910151915158</v>
      </c>
      <c r="W518" s="35"/>
    </row>
    <row r="519" spans="1:23">
      <c r="A519" s="48"/>
      <c r="B519" s="52"/>
      <c r="C519" s="52"/>
      <c r="D519" s="52"/>
      <c r="E519" s="52"/>
      <c r="F519" s="52"/>
      <c r="G519" s="52"/>
      <c r="H519" s="52"/>
      <c r="I519" s="52"/>
      <c r="J519" s="52"/>
      <c r="K519" s="52"/>
      <c r="L519" s="52"/>
      <c r="M519" s="52"/>
      <c r="N519" s="52"/>
      <c r="O519" s="52"/>
      <c r="P519" s="52"/>
      <c r="Q519" s="52"/>
      <c r="R519" s="52"/>
      <c r="S519" s="52"/>
      <c r="T519" s="52"/>
      <c r="U519" s="52"/>
      <c r="V519" s="180"/>
      <c r="W519" s="53"/>
    </row>
    <row r="520" spans="1:23">
      <c r="A520" s="135" t="s">
        <v>1123</v>
      </c>
      <c r="B520" s="52"/>
      <c r="C520" s="52"/>
      <c r="D520" s="52"/>
      <c r="E520" s="52"/>
      <c r="F520" s="52"/>
      <c r="G520" s="52"/>
      <c r="H520" s="52"/>
      <c r="I520" s="52"/>
      <c r="J520" s="52"/>
      <c r="K520" s="52"/>
      <c r="L520" s="52"/>
      <c r="M520" s="52"/>
      <c r="N520" s="52"/>
      <c r="O520" s="52"/>
      <c r="P520" s="52"/>
      <c r="Q520" s="52"/>
      <c r="R520" s="52"/>
      <c r="S520" s="52"/>
      <c r="T520" s="52"/>
      <c r="U520" s="52"/>
      <c r="V520" s="180"/>
      <c r="W520" s="53"/>
    </row>
    <row r="521" spans="1:23">
      <c r="A521" s="200" t="s">
        <v>679</v>
      </c>
      <c r="B521" s="52">
        <v>0</v>
      </c>
      <c r="C521" s="52">
        <v>0</v>
      </c>
      <c r="D521" s="52">
        <v>0</v>
      </c>
      <c r="E521" s="52">
        <v>0</v>
      </c>
      <c r="F521" s="52">
        <v>0</v>
      </c>
      <c r="G521" s="52">
        <v>0</v>
      </c>
      <c r="H521" s="52">
        <v>0</v>
      </c>
      <c r="I521" s="52">
        <v>0</v>
      </c>
      <c r="J521" s="52">
        <v>0</v>
      </c>
      <c r="K521" s="52">
        <v>0</v>
      </c>
      <c r="L521" s="52">
        <v>0</v>
      </c>
      <c r="M521" s="52">
        <v>0</v>
      </c>
      <c r="N521" s="52">
        <v>0</v>
      </c>
      <c r="O521" s="52">
        <v>0</v>
      </c>
      <c r="P521" s="52">
        <v>0</v>
      </c>
      <c r="Q521" s="52">
        <v>0</v>
      </c>
      <c r="R521" s="52">
        <v>0</v>
      </c>
      <c r="S521" s="52">
        <v>0</v>
      </c>
      <c r="T521" s="52">
        <v>0</v>
      </c>
      <c r="U521" s="52">
        <v>0</v>
      </c>
      <c r="V521" s="180">
        <f>SUM(B521:U521)</f>
        <v>0</v>
      </c>
      <c r="W521" s="53">
        <f>V521/20</f>
        <v>0</v>
      </c>
    </row>
    <row r="522" spans="1:23" s="3" customFormat="1">
      <c r="A522" s="200" t="s">
        <v>680</v>
      </c>
      <c r="B522" s="52">
        <f>('Scenario 2 Assumptions'!$B$279*('Scenario 2 Assumptions'!$B$365*0.5)/20)</f>
        <v>1.6875000000000001E-4</v>
      </c>
      <c r="C522" s="52">
        <f>('Scenario 2 Assumptions'!$B$279*('Scenario 2 Assumptions'!$B$365*0.5)/20)</f>
        <v>1.6875000000000001E-4</v>
      </c>
      <c r="D522" s="52">
        <f>('Scenario 2 Assumptions'!$B$279*('Scenario 2 Assumptions'!$B$365*0.5)/20)</f>
        <v>1.6875000000000001E-4</v>
      </c>
      <c r="E522" s="52">
        <f>('Scenario 2 Assumptions'!$B$279*('Scenario 2 Assumptions'!$B$365*0.5)/20)</f>
        <v>1.6875000000000001E-4</v>
      </c>
      <c r="F522" s="52">
        <f>('Scenario 2 Assumptions'!$B$279*('Scenario 2 Assumptions'!$B$365*0.5)/20)</f>
        <v>1.6875000000000001E-4</v>
      </c>
      <c r="G522" s="52">
        <f>('Scenario 2 Assumptions'!$B$279*('Scenario 2 Assumptions'!$B$365*0.5)/20)</f>
        <v>1.6875000000000001E-4</v>
      </c>
      <c r="H522" s="52">
        <f>('Scenario 2 Assumptions'!$B$279*('Scenario 2 Assumptions'!$B$365*0.5)/20)</f>
        <v>1.6875000000000001E-4</v>
      </c>
      <c r="I522" s="52">
        <f>('Scenario 2 Assumptions'!$B$279*('Scenario 2 Assumptions'!$B$365*0.5)/20)</f>
        <v>1.6875000000000001E-4</v>
      </c>
      <c r="J522" s="52">
        <f>('Scenario 2 Assumptions'!$B$279*('Scenario 2 Assumptions'!$B$365*0.5)/20)</f>
        <v>1.6875000000000001E-4</v>
      </c>
      <c r="K522" s="52">
        <f>('Scenario 2 Assumptions'!$B$279*('Scenario 2 Assumptions'!$B$365*0.5)/20)</f>
        <v>1.6875000000000001E-4</v>
      </c>
      <c r="L522" s="52">
        <f>('Scenario 2 Assumptions'!$B$279*('Scenario 2 Assumptions'!$B$365*0.5)/20)</f>
        <v>1.6875000000000001E-4</v>
      </c>
      <c r="M522" s="52">
        <f>('Scenario 2 Assumptions'!$B$279*('Scenario 2 Assumptions'!$B$365*0.5)/20)</f>
        <v>1.6875000000000001E-4</v>
      </c>
      <c r="N522" s="52">
        <f>('Scenario 2 Assumptions'!$B$279*('Scenario 2 Assumptions'!$B$365*0.5)/20)</f>
        <v>1.6875000000000001E-4</v>
      </c>
      <c r="O522" s="52">
        <f>('Scenario 2 Assumptions'!$B$279*('Scenario 2 Assumptions'!$B$365*0.5)/20)</f>
        <v>1.6875000000000001E-4</v>
      </c>
      <c r="P522" s="52">
        <f>('Scenario 2 Assumptions'!$B$279*('Scenario 2 Assumptions'!$B$365*0.5)/20)</f>
        <v>1.6875000000000001E-4</v>
      </c>
      <c r="Q522" s="52">
        <f>('Scenario 2 Assumptions'!$B$279*('Scenario 2 Assumptions'!$B$365*0.5)/20)</f>
        <v>1.6875000000000001E-4</v>
      </c>
      <c r="R522" s="52">
        <f>('Scenario 2 Assumptions'!$B$279*('Scenario 2 Assumptions'!$B$365*0.5)/20)</f>
        <v>1.6875000000000001E-4</v>
      </c>
      <c r="S522" s="52">
        <f>('Scenario 2 Assumptions'!$B$279*('Scenario 2 Assumptions'!$B$365*0.5)/20)</f>
        <v>1.6875000000000001E-4</v>
      </c>
      <c r="T522" s="52">
        <f>('Scenario 2 Assumptions'!$B$279*('Scenario 2 Assumptions'!$B$365*0.5)/20)</f>
        <v>1.6875000000000001E-4</v>
      </c>
      <c r="U522" s="52">
        <f>('Scenario 2 Assumptions'!$B$279*('Scenario 2 Assumptions'!$B$365*0.5)/20)</f>
        <v>1.6875000000000001E-4</v>
      </c>
      <c r="V522" s="180">
        <f t="shared" ref="V522:V523" si="573">SUM(B522:U522)</f>
        <v>3.3750000000000008E-3</v>
      </c>
      <c r="W522" s="53">
        <f t="shared" ref="W522:W523" si="574">V522/20</f>
        <v>1.6875000000000004E-4</v>
      </c>
    </row>
    <row r="523" spans="1:23" ht="13.5" customHeight="1">
      <c r="A523" s="49" t="s">
        <v>664</v>
      </c>
      <c r="B523" s="34">
        <f>SUM(B521:B522)</f>
        <v>1.6875000000000001E-4</v>
      </c>
      <c r="C523" s="34">
        <f t="shared" ref="C523" si="575">SUM(C521:C522)</f>
        <v>1.6875000000000001E-4</v>
      </c>
      <c r="D523" s="34">
        <f t="shared" ref="D523" si="576">SUM(D521:D522)</f>
        <v>1.6875000000000001E-4</v>
      </c>
      <c r="E523" s="34">
        <f t="shared" ref="E523" si="577">SUM(E521:E522)</f>
        <v>1.6875000000000001E-4</v>
      </c>
      <c r="F523" s="34">
        <f t="shared" ref="F523" si="578">SUM(F521:F522)</f>
        <v>1.6875000000000001E-4</v>
      </c>
      <c r="G523" s="34">
        <f t="shared" ref="G523" si="579">SUM(G521:G522)</f>
        <v>1.6875000000000001E-4</v>
      </c>
      <c r="H523" s="34">
        <f t="shared" ref="H523" si="580">SUM(H521:H522)</f>
        <v>1.6875000000000001E-4</v>
      </c>
      <c r="I523" s="34">
        <f t="shared" ref="I523" si="581">SUM(I521:I522)</f>
        <v>1.6875000000000001E-4</v>
      </c>
      <c r="J523" s="34">
        <f t="shared" ref="J523" si="582">SUM(J521:J522)</f>
        <v>1.6875000000000001E-4</v>
      </c>
      <c r="K523" s="34">
        <f t="shared" ref="K523" si="583">SUM(K521:K522)</f>
        <v>1.6875000000000001E-4</v>
      </c>
      <c r="L523" s="34">
        <f t="shared" ref="L523" si="584">SUM(L521:L522)</f>
        <v>1.6875000000000001E-4</v>
      </c>
      <c r="M523" s="34">
        <f t="shared" ref="M523" si="585">SUM(M521:M522)</f>
        <v>1.6875000000000001E-4</v>
      </c>
      <c r="N523" s="34">
        <f t="shared" ref="N523" si="586">SUM(N521:N522)</f>
        <v>1.6875000000000001E-4</v>
      </c>
      <c r="O523" s="34">
        <f t="shared" ref="O523" si="587">SUM(O521:O522)</f>
        <v>1.6875000000000001E-4</v>
      </c>
      <c r="P523" s="34">
        <f t="shared" ref="P523" si="588">SUM(P521:P522)</f>
        <v>1.6875000000000001E-4</v>
      </c>
      <c r="Q523" s="34">
        <f t="shared" ref="Q523" si="589">SUM(Q521:Q522)</f>
        <v>1.6875000000000001E-4</v>
      </c>
      <c r="R523" s="34">
        <f t="shared" ref="R523" si="590">SUM(R521:R522)</f>
        <v>1.6875000000000001E-4</v>
      </c>
      <c r="S523" s="34">
        <f t="shared" ref="S523" si="591">SUM(S521:S522)</f>
        <v>1.6875000000000001E-4</v>
      </c>
      <c r="T523" s="34">
        <f t="shared" ref="T523" si="592">SUM(T521:T522)</f>
        <v>1.6875000000000001E-4</v>
      </c>
      <c r="U523" s="34">
        <f t="shared" ref="U523" si="593">SUM(U521:U522)</f>
        <v>1.6875000000000001E-4</v>
      </c>
      <c r="V523" s="180">
        <f t="shared" si="573"/>
        <v>3.3750000000000008E-3</v>
      </c>
      <c r="W523" s="53">
        <f t="shared" si="574"/>
        <v>1.6875000000000004E-4</v>
      </c>
    </row>
    <row r="524" spans="1:23" s="81" customFormat="1">
      <c r="A524" s="134" t="s">
        <v>123</v>
      </c>
      <c r="B524" s="52">
        <v>0.96618357487922713</v>
      </c>
      <c r="C524" s="52">
        <v>0.93351070036640305</v>
      </c>
      <c r="D524" s="52">
        <v>0.90194270566802237</v>
      </c>
      <c r="E524" s="52">
        <v>0.87144222769857238</v>
      </c>
      <c r="F524" s="52">
        <v>0.84197316685852419</v>
      </c>
      <c r="G524" s="52">
        <v>0.81350064430775282</v>
      </c>
      <c r="H524" s="52">
        <v>0.78599096068381913</v>
      </c>
      <c r="I524" s="52">
        <v>0.75941155621625056</v>
      </c>
      <c r="J524" s="52">
        <v>0.73373097218961414</v>
      </c>
      <c r="K524" s="52">
        <v>0.70891881370977217</v>
      </c>
      <c r="L524" s="52">
        <v>0.68494571372924851</v>
      </c>
      <c r="M524" s="52">
        <v>0.66178329828912896</v>
      </c>
      <c r="N524" s="52">
        <v>0.63940415293635666</v>
      </c>
      <c r="O524" s="52">
        <v>0.61778179027667302</v>
      </c>
      <c r="P524" s="52">
        <v>0.59689061862480497</v>
      </c>
      <c r="Q524" s="52">
        <v>0.57670591171478747</v>
      </c>
      <c r="R524" s="52">
        <v>0.55720377943457733</v>
      </c>
      <c r="S524" s="52">
        <v>0.53836113955031628</v>
      </c>
      <c r="T524" s="52">
        <v>0.52015569038677911</v>
      </c>
      <c r="U524" s="52">
        <v>0.50256588443167061</v>
      </c>
      <c r="V524" s="180"/>
      <c r="W524" s="133"/>
    </row>
    <row r="525" spans="1:23">
      <c r="A525" s="50" t="s">
        <v>1069</v>
      </c>
      <c r="B525" s="34">
        <f t="shared" ref="B525:U525" si="594">B524*B523</f>
        <v>1.6304347826086958E-4</v>
      </c>
      <c r="C525" s="34">
        <f t="shared" si="594"/>
        <v>1.5752993068683053E-4</v>
      </c>
      <c r="D525" s="34">
        <f t="shared" si="594"/>
        <v>1.5220283158147877E-4</v>
      </c>
      <c r="E525" s="34">
        <f t="shared" si="594"/>
        <v>1.4705587592413411E-4</v>
      </c>
      <c r="F525" s="34">
        <f t="shared" si="594"/>
        <v>1.4208297190737598E-4</v>
      </c>
      <c r="G525" s="34">
        <f t="shared" si="594"/>
        <v>1.372782337269333E-4</v>
      </c>
      <c r="H525" s="34">
        <f t="shared" si="594"/>
        <v>1.3263597461539447E-4</v>
      </c>
      <c r="I525" s="34">
        <f t="shared" si="594"/>
        <v>1.281507001114923E-4</v>
      </c>
      <c r="J525" s="34">
        <f t="shared" si="594"/>
        <v>1.238171015569974E-4</v>
      </c>
      <c r="K525" s="34">
        <f t="shared" si="594"/>
        <v>1.1963004981352407E-4</v>
      </c>
      <c r="L525" s="34">
        <f t="shared" si="594"/>
        <v>1.1558458919181069E-4</v>
      </c>
      <c r="M525" s="34">
        <f t="shared" si="594"/>
        <v>1.1167593158629052E-4</v>
      </c>
      <c r="N525" s="34">
        <f t="shared" si="594"/>
        <v>1.0789945080801019E-4</v>
      </c>
      <c r="O525" s="34">
        <f t="shared" si="594"/>
        <v>1.0425067710918858E-4</v>
      </c>
      <c r="P525" s="34">
        <f t="shared" si="594"/>
        <v>1.0072529189293584E-4</v>
      </c>
      <c r="Q525" s="34">
        <f t="shared" si="594"/>
        <v>9.7319122601870396E-5</v>
      </c>
      <c r="R525" s="34">
        <f t="shared" si="594"/>
        <v>9.402813777958493E-5</v>
      </c>
      <c r="S525" s="34">
        <f t="shared" si="594"/>
        <v>9.0848442299115879E-5</v>
      </c>
      <c r="T525" s="34">
        <f t="shared" si="594"/>
        <v>8.7776272752768973E-5</v>
      </c>
      <c r="U525" s="34">
        <f t="shared" si="594"/>
        <v>8.4807992997844422E-5</v>
      </c>
      <c r="V525" s="182">
        <f>SUM(B525:U525)</f>
        <v>2.3983430572044511E-3</v>
      </c>
      <c r="W525" s="35"/>
    </row>
    <row r="526" spans="1:23">
      <c r="A526" s="48"/>
      <c r="B526" s="52"/>
      <c r="C526" s="52"/>
      <c r="D526" s="52"/>
      <c r="E526" s="52"/>
      <c r="F526" s="52"/>
      <c r="G526" s="52"/>
      <c r="H526" s="52"/>
      <c r="I526" s="52"/>
      <c r="J526" s="52"/>
      <c r="K526" s="52"/>
      <c r="L526" s="52"/>
      <c r="M526" s="52"/>
      <c r="N526" s="52"/>
      <c r="O526" s="52"/>
      <c r="P526" s="52"/>
      <c r="Q526" s="52"/>
      <c r="R526" s="52"/>
      <c r="S526" s="52"/>
      <c r="T526" s="52"/>
      <c r="U526" s="52"/>
      <c r="V526" s="180"/>
      <c r="W526" s="53"/>
    </row>
    <row r="527" spans="1:23">
      <c r="A527" s="135" t="s">
        <v>1124</v>
      </c>
      <c r="B527" s="52"/>
      <c r="C527" s="52"/>
      <c r="D527" s="52"/>
      <c r="E527" s="52"/>
      <c r="F527" s="52"/>
      <c r="G527" s="52"/>
      <c r="H527" s="52"/>
      <c r="I527" s="52"/>
      <c r="J527" s="52"/>
      <c r="K527" s="52"/>
      <c r="L527" s="52"/>
      <c r="M527" s="52"/>
      <c r="N527" s="52"/>
      <c r="O527" s="52"/>
      <c r="P527" s="52"/>
      <c r="Q527" s="52"/>
      <c r="R527" s="52"/>
      <c r="S527" s="52"/>
      <c r="T527" s="52"/>
      <c r="U527" s="52"/>
      <c r="V527" s="180"/>
      <c r="W527" s="53"/>
    </row>
    <row r="528" spans="1:23">
      <c r="A528" s="200" t="s">
        <v>679</v>
      </c>
      <c r="B528" s="52">
        <v>0</v>
      </c>
      <c r="C528" s="52">
        <v>0</v>
      </c>
      <c r="D528" s="52">
        <v>0</v>
      </c>
      <c r="E528" s="52">
        <v>0</v>
      </c>
      <c r="F528" s="52">
        <v>0</v>
      </c>
      <c r="G528" s="52">
        <v>0</v>
      </c>
      <c r="H528" s="52">
        <v>0</v>
      </c>
      <c r="I528" s="52">
        <v>0</v>
      </c>
      <c r="J528" s="52">
        <v>0</v>
      </c>
      <c r="K528" s="52">
        <v>0</v>
      </c>
      <c r="L528" s="52">
        <v>0</v>
      </c>
      <c r="M528" s="52">
        <v>0</v>
      </c>
      <c r="N528" s="52">
        <v>0</v>
      </c>
      <c r="O528" s="52">
        <v>0</v>
      </c>
      <c r="P528" s="52">
        <v>0</v>
      </c>
      <c r="Q528" s="52">
        <v>0</v>
      </c>
      <c r="R528" s="52">
        <v>0</v>
      </c>
      <c r="S528" s="52">
        <v>0</v>
      </c>
      <c r="T528" s="52">
        <v>0</v>
      </c>
      <c r="U528" s="52">
        <v>0</v>
      </c>
      <c r="V528" s="180">
        <f>SUM(B528:U528)</f>
        <v>0</v>
      </c>
      <c r="W528" s="53">
        <f>V528/20</f>
        <v>0</v>
      </c>
    </row>
    <row r="529" spans="1:23" s="3" customFormat="1">
      <c r="A529" s="200" t="s">
        <v>680</v>
      </c>
      <c r="B529" s="52">
        <f>('Scenario 2 Assumptions'!$B$279*('Scenario 2 Assumptions'!$B$366*0.5)/20)</f>
        <v>1.6875000000000001E-4</v>
      </c>
      <c r="C529" s="52">
        <f>('Scenario 2 Assumptions'!$B$279*('Scenario 2 Assumptions'!$B$366*0.5)/20)</f>
        <v>1.6875000000000001E-4</v>
      </c>
      <c r="D529" s="52">
        <f>('Scenario 2 Assumptions'!$B$279*('Scenario 2 Assumptions'!$B$366*0.5)/20)</f>
        <v>1.6875000000000001E-4</v>
      </c>
      <c r="E529" s="52">
        <f>('Scenario 2 Assumptions'!$B$279*('Scenario 2 Assumptions'!$B$366*0.5)/20)</f>
        <v>1.6875000000000001E-4</v>
      </c>
      <c r="F529" s="52">
        <f>('Scenario 2 Assumptions'!$B$279*('Scenario 2 Assumptions'!$B$366*0.5)/20)</f>
        <v>1.6875000000000001E-4</v>
      </c>
      <c r="G529" s="52">
        <f>('Scenario 2 Assumptions'!$B$279*('Scenario 2 Assumptions'!$B$366*0.5)/20)</f>
        <v>1.6875000000000001E-4</v>
      </c>
      <c r="H529" s="52">
        <f>('Scenario 2 Assumptions'!$B$279*('Scenario 2 Assumptions'!$B$366*0.5)/20)</f>
        <v>1.6875000000000001E-4</v>
      </c>
      <c r="I529" s="52">
        <f>('Scenario 2 Assumptions'!$B$279*('Scenario 2 Assumptions'!$B$366*0.5)/20)</f>
        <v>1.6875000000000001E-4</v>
      </c>
      <c r="J529" s="52">
        <f>('Scenario 2 Assumptions'!$B$279*('Scenario 2 Assumptions'!$B$366*0.5)/20)</f>
        <v>1.6875000000000001E-4</v>
      </c>
      <c r="K529" s="52">
        <f>('Scenario 2 Assumptions'!$B$279*('Scenario 2 Assumptions'!$B$366*0.5)/20)</f>
        <v>1.6875000000000001E-4</v>
      </c>
      <c r="L529" s="52">
        <f>('Scenario 2 Assumptions'!$B$279*('Scenario 2 Assumptions'!$B$366*0.5)/20)</f>
        <v>1.6875000000000001E-4</v>
      </c>
      <c r="M529" s="52">
        <f>('Scenario 2 Assumptions'!$B$279*('Scenario 2 Assumptions'!$B$366*0.5)/20)</f>
        <v>1.6875000000000001E-4</v>
      </c>
      <c r="N529" s="52">
        <f>('Scenario 2 Assumptions'!$B$279*('Scenario 2 Assumptions'!$B$366*0.5)/20)</f>
        <v>1.6875000000000001E-4</v>
      </c>
      <c r="O529" s="52">
        <f>('Scenario 2 Assumptions'!$B$279*('Scenario 2 Assumptions'!$B$366*0.5)/20)</f>
        <v>1.6875000000000001E-4</v>
      </c>
      <c r="P529" s="52">
        <f>('Scenario 2 Assumptions'!$B$279*('Scenario 2 Assumptions'!$B$366*0.5)/20)</f>
        <v>1.6875000000000001E-4</v>
      </c>
      <c r="Q529" s="52">
        <f>('Scenario 2 Assumptions'!$B$279*('Scenario 2 Assumptions'!$B$366*0.5)/20)</f>
        <v>1.6875000000000001E-4</v>
      </c>
      <c r="R529" s="52">
        <f>('Scenario 2 Assumptions'!$B$279*('Scenario 2 Assumptions'!$B$366*0.5)/20)</f>
        <v>1.6875000000000001E-4</v>
      </c>
      <c r="S529" s="52">
        <f>('Scenario 2 Assumptions'!$B$279*('Scenario 2 Assumptions'!$B$366*0.5)/20)</f>
        <v>1.6875000000000001E-4</v>
      </c>
      <c r="T529" s="52">
        <f>('Scenario 2 Assumptions'!$B$279*('Scenario 2 Assumptions'!$B$366*0.5)/20)</f>
        <v>1.6875000000000001E-4</v>
      </c>
      <c r="U529" s="52">
        <f>('Scenario 2 Assumptions'!$B$279*('Scenario 2 Assumptions'!$B$366*0.5)/20)</f>
        <v>1.6875000000000001E-4</v>
      </c>
      <c r="V529" s="180">
        <f t="shared" ref="V529:V530" si="595">SUM(B529:U529)</f>
        <v>3.3750000000000008E-3</v>
      </c>
      <c r="W529" s="53">
        <f t="shared" ref="W529:W530" si="596">V529/20</f>
        <v>1.6875000000000004E-4</v>
      </c>
    </row>
    <row r="530" spans="1:23" ht="13.5" customHeight="1">
      <c r="A530" s="49" t="s">
        <v>664</v>
      </c>
      <c r="B530" s="34">
        <f>SUM(B528:B529)</f>
        <v>1.6875000000000001E-4</v>
      </c>
      <c r="C530" s="34">
        <f t="shared" ref="C530" si="597">SUM(C528:C529)</f>
        <v>1.6875000000000001E-4</v>
      </c>
      <c r="D530" s="34">
        <f t="shared" ref="D530" si="598">SUM(D528:D529)</f>
        <v>1.6875000000000001E-4</v>
      </c>
      <c r="E530" s="34">
        <f t="shared" ref="E530" si="599">SUM(E528:E529)</f>
        <v>1.6875000000000001E-4</v>
      </c>
      <c r="F530" s="34">
        <f t="shared" ref="F530" si="600">SUM(F528:F529)</f>
        <v>1.6875000000000001E-4</v>
      </c>
      <c r="G530" s="34">
        <f t="shared" ref="G530" si="601">SUM(G528:G529)</f>
        <v>1.6875000000000001E-4</v>
      </c>
      <c r="H530" s="34">
        <f t="shared" ref="H530" si="602">SUM(H528:H529)</f>
        <v>1.6875000000000001E-4</v>
      </c>
      <c r="I530" s="34">
        <f t="shared" ref="I530" si="603">SUM(I528:I529)</f>
        <v>1.6875000000000001E-4</v>
      </c>
      <c r="J530" s="34">
        <f t="shared" ref="J530" si="604">SUM(J528:J529)</f>
        <v>1.6875000000000001E-4</v>
      </c>
      <c r="K530" s="34">
        <f t="shared" ref="K530" si="605">SUM(K528:K529)</f>
        <v>1.6875000000000001E-4</v>
      </c>
      <c r="L530" s="34">
        <f t="shared" ref="L530" si="606">SUM(L528:L529)</f>
        <v>1.6875000000000001E-4</v>
      </c>
      <c r="M530" s="34">
        <f t="shared" ref="M530" si="607">SUM(M528:M529)</f>
        <v>1.6875000000000001E-4</v>
      </c>
      <c r="N530" s="34">
        <f t="shared" ref="N530" si="608">SUM(N528:N529)</f>
        <v>1.6875000000000001E-4</v>
      </c>
      <c r="O530" s="34">
        <f t="shared" ref="O530" si="609">SUM(O528:O529)</f>
        <v>1.6875000000000001E-4</v>
      </c>
      <c r="P530" s="34">
        <f t="shared" ref="P530" si="610">SUM(P528:P529)</f>
        <v>1.6875000000000001E-4</v>
      </c>
      <c r="Q530" s="34">
        <f t="shared" ref="Q530" si="611">SUM(Q528:Q529)</f>
        <v>1.6875000000000001E-4</v>
      </c>
      <c r="R530" s="34">
        <f t="shared" ref="R530" si="612">SUM(R528:R529)</f>
        <v>1.6875000000000001E-4</v>
      </c>
      <c r="S530" s="34">
        <f t="shared" ref="S530" si="613">SUM(S528:S529)</f>
        <v>1.6875000000000001E-4</v>
      </c>
      <c r="T530" s="34">
        <f t="shared" ref="T530" si="614">SUM(T528:T529)</f>
        <v>1.6875000000000001E-4</v>
      </c>
      <c r="U530" s="34">
        <f t="shared" ref="U530" si="615">SUM(U528:U529)</f>
        <v>1.6875000000000001E-4</v>
      </c>
      <c r="V530" s="180">
        <f t="shared" si="595"/>
        <v>3.3750000000000008E-3</v>
      </c>
      <c r="W530" s="53">
        <f t="shared" si="596"/>
        <v>1.6875000000000004E-4</v>
      </c>
    </row>
    <row r="531" spans="1:23" s="81" customFormat="1">
      <c r="A531" s="134" t="s">
        <v>123</v>
      </c>
      <c r="B531" s="52">
        <v>0.96618357487922713</v>
      </c>
      <c r="C531" s="52">
        <v>0.93351070036640305</v>
      </c>
      <c r="D531" s="52">
        <v>0.90194270566802237</v>
      </c>
      <c r="E531" s="52">
        <v>0.87144222769857238</v>
      </c>
      <c r="F531" s="52">
        <v>0.84197316685852419</v>
      </c>
      <c r="G531" s="52">
        <v>0.81350064430775282</v>
      </c>
      <c r="H531" s="52">
        <v>0.78599096068381913</v>
      </c>
      <c r="I531" s="52">
        <v>0.75941155621625056</v>
      </c>
      <c r="J531" s="52">
        <v>0.73373097218961414</v>
      </c>
      <c r="K531" s="52">
        <v>0.70891881370977217</v>
      </c>
      <c r="L531" s="52">
        <v>0.68494571372924851</v>
      </c>
      <c r="M531" s="52">
        <v>0.66178329828912896</v>
      </c>
      <c r="N531" s="52">
        <v>0.63940415293635666</v>
      </c>
      <c r="O531" s="52">
        <v>0.61778179027667302</v>
      </c>
      <c r="P531" s="52">
        <v>0.59689061862480497</v>
      </c>
      <c r="Q531" s="52">
        <v>0.57670591171478747</v>
      </c>
      <c r="R531" s="52">
        <v>0.55720377943457733</v>
      </c>
      <c r="S531" s="52">
        <v>0.53836113955031628</v>
      </c>
      <c r="T531" s="52">
        <v>0.52015569038677911</v>
      </c>
      <c r="U531" s="52">
        <v>0.50256588443167061</v>
      </c>
      <c r="V531" s="180"/>
      <c r="W531" s="133"/>
    </row>
    <row r="532" spans="1:23">
      <c r="A532" s="50" t="s">
        <v>1069</v>
      </c>
      <c r="B532" s="34">
        <f t="shared" ref="B532:U532" si="616">B531*B530</f>
        <v>1.6304347826086958E-4</v>
      </c>
      <c r="C532" s="34">
        <f t="shared" si="616"/>
        <v>1.5752993068683053E-4</v>
      </c>
      <c r="D532" s="34">
        <f t="shared" si="616"/>
        <v>1.5220283158147877E-4</v>
      </c>
      <c r="E532" s="34">
        <f t="shared" si="616"/>
        <v>1.4705587592413411E-4</v>
      </c>
      <c r="F532" s="34">
        <f t="shared" si="616"/>
        <v>1.4208297190737598E-4</v>
      </c>
      <c r="G532" s="34">
        <f t="shared" si="616"/>
        <v>1.372782337269333E-4</v>
      </c>
      <c r="H532" s="34">
        <f t="shared" si="616"/>
        <v>1.3263597461539447E-4</v>
      </c>
      <c r="I532" s="34">
        <f t="shared" si="616"/>
        <v>1.281507001114923E-4</v>
      </c>
      <c r="J532" s="34">
        <f t="shared" si="616"/>
        <v>1.238171015569974E-4</v>
      </c>
      <c r="K532" s="34">
        <f t="shared" si="616"/>
        <v>1.1963004981352407E-4</v>
      </c>
      <c r="L532" s="34">
        <f t="shared" si="616"/>
        <v>1.1558458919181069E-4</v>
      </c>
      <c r="M532" s="34">
        <f t="shared" si="616"/>
        <v>1.1167593158629052E-4</v>
      </c>
      <c r="N532" s="34">
        <f t="shared" si="616"/>
        <v>1.0789945080801019E-4</v>
      </c>
      <c r="O532" s="34">
        <f t="shared" si="616"/>
        <v>1.0425067710918858E-4</v>
      </c>
      <c r="P532" s="34">
        <f t="shared" si="616"/>
        <v>1.0072529189293584E-4</v>
      </c>
      <c r="Q532" s="34">
        <f t="shared" si="616"/>
        <v>9.7319122601870396E-5</v>
      </c>
      <c r="R532" s="34">
        <f t="shared" si="616"/>
        <v>9.402813777958493E-5</v>
      </c>
      <c r="S532" s="34">
        <f t="shared" si="616"/>
        <v>9.0848442299115879E-5</v>
      </c>
      <c r="T532" s="34">
        <f t="shared" si="616"/>
        <v>8.7776272752768973E-5</v>
      </c>
      <c r="U532" s="34">
        <f t="shared" si="616"/>
        <v>8.4807992997844422E-5</v>
      </c>
      <c r="V532" s="182">
        <f>SUM(B532:U532)</f>
        <v>2.3983430572044511E-3</v>
      </c>
      <c r="W532" s="35"/>
    </row>
    <row r="533" spans="1:23">
      <c r="A533" s="48"/>
      <c r="B533" s="52"/>
      <c r="C533" s="52"/>
      <c r="D533" s="52"/>
      <c r="E533" s="52"/>
      <c r="F533" s="52"/>
      <c r="G533" s="52"/>
      <c r="H533" s="52"/>
      <c r="I533" s="52"/>
      <c r="J533" s="52"/>
      <c r="K533" s="52"/>
      <c r="L533" s="52"/>
      <c r="M533" s="52"/>
      <c r="N533" s="52"/>
      <c r="O533" s="52"/>
      <c r="P533" s="52"/>
      <c r="Q533" s="52"/>
      <c r="R533" s="52"/>
      <c r="S533" s="52"/>
      <c r="T533" s="52"/>
      <c r="U533" s="52"/>
      <c r="V533" s="180"/>
      <c r="W533" s="53"/>
    </row>
    <row r="534" spans="1:23">
      <c r="A534" s="135" t="s">
        <v>1290</v>
      </c>
      <c r="B534" s="52"/>
      <c r="C534" s="52"/>
      <c r="D534" s="52"/>
      <c r="E534" s="52"/>
      <c r="F534" s="52"/>
      <c r="G534" s="52"/>
      <c r="H534" s="52"/>
      <c r="I534" s="52"/>
      <c r="J534" s="52"/>
      <c r="K534" s="52"/>
      <c r="L534" s="52"/>
      <c r="M534" s="52"/>
      <c r="N534" s="52"/>
      <c r="O534" s="52"/>
      <c r="P534" s="52"/>
      <c r="Q534" s="52"/>
      <c r="R534" s="52"/>
      <c r="S534" s="52"/>
      <c r="T534" s="52"/>
      <c r="U534" s="52"/>
      <c r="V534" s="180"/>
      <c r="W534" s="53"/>
    </row>
    <row r="535" spans="1:23">
      <c r="A535" s="200" t="s">
        <v>679</v>
      </c>
      <c r="B535" s="52">
        <v>0</v>
      </c>
      <c r="C535" s="52">
        <v>0</v>
      </c>
      <c r="D535" s="52">
        <v>0</v>
      </c>
      <c r="E535" s="52">
        <v>0</v>
      </c>
      <c r="F535" s="52">
        <v>0</v>
      </c>
      <c r="G535" s="52">
        <v>0</v>
      </c>
      <c r="H535" s="52">
        <v>0</v>
      </c>
      <c r="I535" s="52">
        <v>0</v>
      </c>
      <c r="J535" s="52">
        <v>0</v>
      </c>
      <c r="K535" s="52">
        <v>0</v>
      </c>
      <c r="L535" s="52">
        <v>0</v>
      </c>
      <c r="M535" s="52">
        <v>0</v>
      </c>
      <c r="N535" s="52">
        <v>0</v>
      </c>
      <c r="O535" s="52">
        <v>0</v>
      </c>
      <c r="P535" s="52">
        <v>0</v>
      </c>
      <c r="Q535" s="52">
        <v>0</v>
      </c>
      <c r="R535" s="52">
        <v>0</v>
      </c>
      <c r="S535" s="52">
        <v>0</v>
      </c>
      <c r="T535" s="52">
        <v>0</v>
      </c>
      <c r="U535" s="52">
        <v>0</v>
      </c>
      <c r="V535" s="180">
        <f>SUM(B535:U535)</f>
        <v>0</v>
      </c>
      <c r="W535" s="53">
        <f>V535/20</f>
        <v>0</v>
      </c>
    </row>
    <row r="536" spans="1:23" s="3" customFormat="1">
      <c r="A536" s="200" t="s">
        <v>680</v>
      </c>
      <c r="B536" s="52">
        <f>('Scenario 2 Assumptions'!$B$279*('Scenario 2 Assumptions'!$B$367*0.5)/20)+B30</f>
        <v>6.7500000000000004E-4</v>
      </c>
      <c r="C536" s="52">
        <f>('Scenario 2 Assumptions'!$B$279*('Scenario 2 Assumptions'!$B$367*0.5)/20)+C30</f>
        <v>6.7500000000000004E-4</v>
      </c>
      <c r="D536" s="52">
        <f>('Scenario 2 Assumptions'!$B$279*('Scenario 2 Assumptions'!$B$367*0.5)/20)+D30</f>
        <v>6.7500000000000004E-4</v>
      </c>
      <c r="E536" s="52">
        <f>('Scenario 2 Assumptions'!$B$279*('Scenario 2 Assumptions'!$B$367*0.5)/20)+E30</f>
        <v>6.7500000000000004E-4</v>
      </c>
      <c r="F536" s="52">
        <f>('Scenario 2 Assumptions'!$B$279*('Scenario 2 Assumptions'!$B$367*0.5)/20)+F30</f>
        <v>6.7500000000000004E-4</v>
      </c>
      <c r="G536" s="52">
        <f>('Scenario 2 Assumptions'!$B$279*('Scenario 2 Assumptions'!$B$367*0.5)/20)+G30</f>
        <v>6.7500000000000004E-4</v>
      </c>
      <c r="H536" s="52">
        <f>('Scenario 2 Assumptions'!$B$279*('Scenario 2 Assumptions'!$B$367*0.5)/20)+H30</f>
        <v>6.7500000000000004E-4</v>
      </c>
      <c r="I536" s="52">
        <f>('Scenario 2 Assumptions'!$B$279*('Scenario 2 Assumptions'!$B$367*0.5)/20)+I30</f>
        <v>6.7500000000000004E-4</v>
      </c>
      <c r="J536" s="52">
        <f>('Scenario 2 Assumptions'!$B$279*('Scenario 2 Assumptions'!$B$367*0.5)/20)+J30</f>
        <v>6.7500000000000004E-4</v>
      </c>
      <c r="K536" s="52">
        <f>('Scenario 2 Assumptions'!$B$279*('Scenario 2 Assumptions'!$B$367*0.5)/20)+K30</f>
        <v>6.7500000000000004E-4</v>
      </c>
      <c r="L536" s="52">
        <f>('Scenario 2 Assumptions'!$B$279*('Scenario 2 Assumptions'!$B$367*0.5)/20)+L30</f>
        <v>6.7500000000000004E-4</v>
      </c>
      <c r="M536" s="52">
        <f>('Scenario 2 Assumptions'!$B$279*('Scenario 2 Assumptions'!$B$367*0.5)/20)+M30</f>
        <v>6.7500000000000004E-4</v>
      </c>
      <c r="N536" s="52">
        <f>('Scenario 2 Assumptions'!$B$279*('Scenario 2 Assumptions'!$B$367*0.5)/20)+N30</f>
        <v>6.7500000000000004E-4</v>
      </c>
      <c r="O536" s="52">
        <f>('Scenario 2 Assumptions'!$B$279*('Scenario 2 Assumptions'!$B$367*0.5)/20)+O30</f>
        <v>6.7500000000000004E-4</v>
      </c>
      <c r="P536" s="52">
        <f>('Scenario 2 Assumptions'!$B$279*('Scenario 2 Assumptions'!$B$367*0.5)/20)+P30</f>
        <v>6.7500000000000004E-4</v>
      </c>
      <c r="Q536" s="52">
        <f>('Scenario 2 Assumptions'!$B$279*('Scenario 2 Assumptions'!$B$367*0.5)/20)+Q30</f>
        <v>6.7500000000000004E-4</v>
      </c>
      <c r="R536" s="52">
        <f>('Scenario 2 Assumptions'!$B$279*('Scenario 2 Assumptions'!$B$367*0.5)/20)+R30</f>
        <v>6.7500000000000004E-4</v>
      </c>
      <c r="S536" s="52">
        <f>('Scenario 2 Assumptions'!$B$279*('Scenario 2 Assumptions'!$B$367*0.5)/20)+S30</f>
        <v>6.7500000000000004E-4</v>
      </c>
      <c r="T536" s="52">
        <f>('Scenario 2 Assumptions'!$B$279*('Scenario 2 Assumptions'!$B$367*0.5)/20)+T30</f>
        <v>6.7500000000000004E-4</v>
      </c>
      <c r="U536" s="52">
        <f>('Scenario 2 Assumptions'!$B$279*('Scenario 2 Assumptions'!$B$367*0.5)/20)+U30</f>
        <v>6.7500000000000004E-4</v>
      </c>
      <c r="V536" s="180">
        <f t="shared" ref="V536:V537" si="617">SUM(B536:U536)</f>
        <v>1.3500000000000003E-2</v>
      </c>
      <c r="W536" s="53">
        <f t="shared" ref="W536:W537" si="618">V536/20</f>
        <v>6.7500000000000014E-4</v>
      </c>
    </row>
    <row r="537" spans="1:23" ht="13.5" customHeight="1">
      <c r="A537" s="49" t="s">
        <v>664</v>
      </c>
      <c r="B537" s="34">
        <f>SUM(B535:B536)</f>
        <v>6.7500000000000004E-4</v>
      </c>
      <c r="C537" s="34">
        <f t="shared" ref="C537" si="619">SUM(C535:C536)</f>
        <v>6.7500000000000004E-4</v>
      </c>
      <c r="D537" s="34">
        <f t="shared" ref="D537" si="620">SUM(D535:D536)</f>
        <v>6.7500000000000004E-4</v>
      </c>
      <c r="E537" s="34">
        <f t="shared" ref="E537" si="621">SUM(E535:E536)</f>
        <v>6.7500000000000004E-4</v>
      </c>
      <c r="F537" s="34">
        <f t="shared" ref="F537" si="622">SUM(F535:F536)</f>
        <v>6.7500000000000004E-4</v>
      </c>
      <c r="G537" s="34">
        <f t="shared" ref="G537" si="623">SUM(G535:G536)</f>
        <v>6.7500000000000004E-4</v>
      </c>
      <c r="H537" s="34">
        <f t="shared" ref="H537" si="624">SUM(H535:H536)</f>
        <v>6.7500000000000004E-4</v>
      </c>
      <c r="I537" s="34">
        <f t="shared" ref="I537" si="625">SUM(I535:I536)</f>
        <v>6.7500000000000004E-4</v>
      </c>
      <c r="J537" s="34">
        <f t="shared" ref="J537" si="626">SUM(J535:J536)</f>
        <v>6.7500000000000004E-4</v>
      </c>
      <c r="K537" s="34">
        <f t="shared" ref="K537" si="627">SUM(K535:K536)</f>
        <v>6.7500000000000004E-4</v>
      </c>
      <c r="L537" s="34">
        <f t="shared" ref="L537" si="628">SUM(L535:L536)</f>
        <v>6.7500000000000004E-4</v>
      </c>
      <c r="M537" s="34">
        <f t="shared" ref="M537" si="629">SUM(M535:M536)</f>
        <v>6.7500000000000004E-4</v>
      </c>
      <c r="N537" s="34">
        <f t="shared" ref="N537" si="630">SUM(N535:N536)</f>
        <v>6.7500000000000004E-4</v>
      </c>
      <c r="O537" s="34">
        <f t="shared" ref="O537" si="631">SUM(O535:O536)</f>
        <v>6.7500000000000004E-4</v>
      </c>
      <c r="P537" s="34">
        <f t="shared" ref="P537" si="632">SUM(P535:P536)</f>
        <v>6.7500000000000004E-4</v>
      </c>
      <c r="Q537" s="34">
        <f t="shared" ref="Q537" si="633">SUM(Q535:Q536)</f>
        <v>6.7500000000000004E-4</v>
      </c>
      <c r="R537" s="34">
        <f t="shared" ref="R537" si="634">SUM(R535:R536)</f>
        <v>6.7500000000000004E-4</v>
      </c>
      <c r="S537" s="34">
        <f t="shared" ref="S537" si="635">SUM(S535:S536)</f>
        <v>6.7500000000000004E-4</v>
      </c>
      <c r="T537" s="34">
        <f t="shared" ref="T537" si="636">SUM(T535:T536)</f>
        <v>6.7500000000000004E-4</v>
      </c>
      <c r="U537" s="34">
        <f t="shared" ref="U537" si="637">SUM(U535:U536)</f>
        <v>6.7500000000000004E-4</v>
      </c>
      <c r="V537" s="180">
        <f t="shared" si="617"/>
        <v>1.3500000000000003E-2</v>
      </c>
      <c r="W537" s="53">
        <f t="shared" si="618"/>
        <v>6.7500000000000014E-4</v>
      </c>
    </row>
    <row r="538" spans="1:23" s="81" customFormat="1">
      <c r="A538" s="134" t="s">
        <v>123</v>
      </c>
      <c r="B538" s="52">
        <v>0.96618357487922713</v>
      </c>
      <c r="C538" s="52">
        <v>0.93351070036640305</v>
      </c>
      <c r="D538" s="52">
        <v>0.90194270566802237</v>
      </c>
      <c r="E538" s="52">
        <v>0.87144222769857238</v>
      </c>
      <c r="F538" s="52">
        <v>0.84197316685852419</v>
      </c>
      <c r="G538" s="52">
        <v>0.81350064430775282</v>
      </c>
      <c r="H538" s="52">
        <v>0.78599096068381913</v>
      </c>
      <c r="I538" s="52">
        <v>0.75941155621625056</v>
      </c>
      <c r="J538" s="52">
        <v>0.73373097218961414</v>
      </c>
      <c r="K538" s="52">
        <v>0.70891881370977217</v>
      </c>
      <c r="L538" s="52">
        <v>0.68494571372924851</v>
      </c>
      <c r="M538" s="52">
        <v>0.66178329828912896</v>
      </c>
      <c r="N538" s="52">
        <v>0.63940415293635666</v>
      </c>
      <c r="O538" s="52">
        <v>0.61778179027667302</v>
      </c>
      <c r="P538" s="52">
        <v>0.59689061862480497</v>
      </c>
      <c r="Q538" s="52">
        <v>0.57670591171478747</v>
      </c>
      <c r="R538" s="52">
        <v>0.55720377943457733</v>
      </c>
      <c r="S538" s="52">
        <v>0.53836113955031628</v>
      </c>
      <c r="T538" s="52">
        <v>0.52015569038677911</v>
      </c>
      <c r="U538" s="52">
        <v>0.50256588443167061</v>
      </c>
      <c r="V538" s="180"/>
      <c r="W538" s="133"/>
    </row>
    <row r="539" spans="1:23">
      <c r="A539" s="50" t="s">
        <v>1069</v>
      </c>
      <c r="B539" s="34">
        <f t="shared" ref="B539:U539" si="638">B538*B537</f>
        <v>6.5217391304347831E-4</v>
      </c>
      <c r="C539" s="34">
        <f t="shared" si="638"/>
        <v>6.3011972274732212E-4</v>
      </c>
      <c r="D539" s="34">
        <f t="shared" si="638"/>
        <v>6.0881132632591508E-4</v>
      </c>
      <c r="E539" s="34">
        <f t="shared" si="638"/>
        <v>5.8822350369653643E-4</v>
      </c>
      <c r="F539" s="34">
        <f t="shared" si="638"/>
        <v>5.6833188762950391E-4</v>
      </c>
      <c r="G539" s="34">
        <f t="shared" si="638"/>
        <v>5.4911293490773319E-4</v>
      </c>
      <c r="H539" s="34">
        <f t="shared" si="638"/>
        <v>5.3054389846157789E-4</v>
      </c>
      <c r="I539" s="34">
        <f t="shared" si="638"/>
        <v>5.1260280044596919E-4</v>
      </c>
      <c r="J539" s="34">
        <f t="shared" si="638"/>
        <v>4.952684062279896E-4</v>
      </c>
      <c r="K539" s="34">
        <f t="shared" si="638"/>
        <v>4.7852019925409626E-4</v>
      </c>
      <c r="L539" s="34">
        <f t="shared" si="638"/>
        <v>4.6233835676724277E-4</v>
      </c>
      <c r="M539" s="34">
        <f t="shared" si="638"/>
        <v>4.4670372634516209E-4</v>
      </c>
      <c r="N539" s="34">
        <f t="shared" si="638"/>
        <v>4.3159780323204076E-4</v>
      </c>
      <c r="O539" s="34">
        <f t="shared" si="638"/>
        <v>4.1700270843675433E-4</v>
      </c>
      <c r="P539" s="34">
        <f t="shared" si="638"/>
        <v>4.0290116757174337E-4</v>
      </c>
      <c r="Q539" s="34">
        <f t="shared" si="638"/>
        <v>3.8927649040748158E-4</v>
      </c>
      <c r="R539" s="34">
        <f t="shared" si="638"/>
        <v>3.7611255111833972E-4</v>
      </c>
      <c r="S539" s="34">
        <f t="shared" si="638"/>
        <v>3.6339376919646352E-4</v>
      </c>
      <c r="T539" s="34">
        <f t="shared" si="638"/>
        <v>3.5110509101107589E-4</v>
      </c>
      <c r="U539" s="34">
        <f t="shared" si="638"/>
        <v>3.3923197199137769E-4</v>
      </c>
      <c r="V539" s="182">
        <f>SUM(B539:U539)</f>
        <v>9.5933722288178043E-3</v>
      </c>
      <c r="W539" s="35"/>
    </row>
    <row r="540" spans="1:23">
      <c r="A540" s="48"/>
      <c r="B540" s="52"/>
      <c r="C540" s="52"/>
      <c r="D540" s="52"/>
      <c r="E540" s="52"/>
      <c r="F540" s="52"/>
      <c r="G540" s="52"/>
      <c r="H540" s="52"/>
      <c r="I540" s="52"/>
      <c r="J540" s="52"/>
      <c r="K540" s="52"/>
      <c r="L540" s="52"/>
      <c r="M540" s="52"/>
      <c r="N540" s="52"/>
      <c r="O540" s="52"/>
      <c r="P540" s="52"/>
      <c r="Q540" s="52"/>
      <c r="R540" s="52"/>
      <c r="S540" s="52"/>
      <c r="T540" s="52"/>
      <c r="U540" s="52"/>
      <c r="V540" s="180"/>
      <c r="W540" s="53"/>
    </row>
    <row r="541" spans="1:23">
      <c r="A541" s="135" t="s">
        <v>1195</v>
      </c>
      <c r="B541" s="52"/>
      <c r="C541" s="52"/>
      <c r="D541" s="52"/>
      <c r="E541" s="52"/>
      <c r="F541" s="52"/>
      <c r="G541" s="52"/>
      <c r="H541" s="52"/>
      <c r="I541" s="52"/>
      <c r="J541" s="52"/>
      <c r="K541" s="52"/>
      <c r="L541" s="52"/>
      <c r="M541" s="52"/>
      <c r="N541" s="52"/>
      <c r="O541" s="52"/>
      <c r="P541" s="52"/>
      <c r="Q541" s="52"/>
      <c r="R541" s="52"/>
      <c r="S541" s="52"/>
      <c r="T541" s="52"/>
      <c r="U541" s="52"/>
      <c r="V541" s="180"/>
      <c r="W541" s="53"/>
    </row>
    <row r="542" spans="1:23">
      <c r="A542" s="200" t="s">
        <v>679</v>
      </c>
      <c r="B542" s="52">
        <v>0</v>
      </c>
      <c r="C542" s="52">
        <v>0</v>
      </c>
      <c r="D542" s="52">
        <v>0</v>
      </c>
      <c r="E542" s="52">
        <v>0</v>
      </c>
      <c r="F542" s="52">
        <v>0</v>
      </c>
      <c r="G542" s="52">
        <v>0</v>
      </c>
      <c r="H542" s="52">
        <v>0</v>
      </c>
      <c r="I542" s="52">
        <v>0</v>
      </c>
      <c r="J542" s="52">
        <v>0</v>
      </c>
      <c r="K542" s="52">
        <v>0</v>
      </c>
      <c r="L542" s="52">
        <v>0</v>
      </c>
      <c r="M542" s="52">
        <v>0</v>
      </c>
      <c r="N542" s="52">
        <v>0</v>
      </c>
      <c r="O542" s="52">
        <v>0</v>
      </c>
      <c r="P542" s="52">
        <v>0</v>
      </c>
      <c r="Q542" s="52">
        <v>0</v>
      </c>
      <c r="R542" s="52">
        <v>0</v>
      </c>
      <c r="S542" s="52">
        <v>0</v>
      </c>
      <c r="T542" s="52">
        <v>0</v>
      </c>
      <c r="U542" s="52">
        <v>0</v>
      </c>
      <c r="V542" s="180">
        <f>SUM(B542:U542)</f>
        <v>0</v>
      </c>
      <c r="W542" s="53">
        <f>V542/20</f>
        <v>0</v>
      </c>
    </row>
    <row r="543" spans="1:23" s="3" customFormat="1">
      <c r="A543" s="200" t="s">
        <v>680</v>
      </c>
      <c r="B543" s="52">
        <f>('Scenario 2 Assumptions'!$B$279*('Scenario 2 Assumptions'!$B$368*0.5)/20)</f>
        <v>1.6875000000000001E-4</v>
      </c>
      <c r="C543" s="52">
        <f>('Scenario 2 Assumptions'!$B$279*('Scenario 2 Assumptions'!$B$368*0.5)/20)</f>
        <v>1.6875000000000001E-4</v>
      </c>
      <c r="D543" s="52">
        <f>('Scenario 2 Assumptions'!$B$279*('Scenario 2 Assumptions'!$B$368*0.5)/20)</f>
        <v>1.6875000000000001E-4</v>
      </c>
      <c r="E543" s="52">
        <f>('Scenario 2 Assumptions'!$B$279*('Scenario 2 Assumptions'!$B$368*0.5)/20)</f>
        <v>1.6875000000000001E-4</v>
      </c>
      <c r="F543" s="52">
        <f>('Scenario 2 Assumptions'!$B$279*('Scenario 2 Assumptions'!$B$368*0.5)/20)</f>
        <v>1.6875000000000001E-4</v>
      </c>
      <c r="G543" s="52">
        <f>('Scenario 2 Assumptions'!$B$279*('Scenario 2 Assumptions'!$B$368*0.5)/20)</f>
        <v>1.6875000000000001E-4</v>
      </c>
      <c r="H543" s="52">
        <f>('Scenario 2 Assumptions'!$B$279*('Scenario 2 Assumptions'!$B$368*0.5)/20)</f>
        <v>1.6875000000000001E-4</v>
      </c>
      <c r="I543" s="52">
        <f>('Scenario 2 Assumptions'!$B$279*('Scenario 2 Assumptions'!$B$368*0.5)/20)</f>
        <v>1.6875000000000001E-4</v>
      </c>
      <c r="J543" s="52">
        <f>('Scenario 2 Assumptions'!$B$279*('Scenario 2 Assumptions'!$B$368*0.5)/20)</f>
        <v>1.6875000000000001E-4</v>
      </c>
      <c r="K543" s="52">
        <f>('Scenario 2 Assumptions'!$B$279*('Scenario 2 Assumptions'!$B$368*0.5)/20)</f>
        <v>1.6875000000000001E-4</v>
      </c>
      <c r="L543" s="52">
        <f>('Scenario 2 Assumptions'!$B$279*('Scenario 2 Assumptions'!$B$368*0.5)/20)</f>
        <v>1.6875000000000001E-4</v>
      </c>
      <c r="M543" s="52">
        <f>('Scenario 2 Assumptions'!$B$279*('Scenario 2 Assumptions'!$B$368*0.5)/20)</f>
        <v>1.6875000000000001E-4</v>
      </c>
      <c r="N543" s="52">
        <f>('Scenario 2 Assumptions'!$B$279*('Scenario 2 Assumptions'!$B$368*0.5)/20)</f>
        <v>1.6875000000000001E-4</v>
      </c>
      <c r="O543" s="52">
        <f>('Scenario 2 Assumptions'!$B$279*('Scenario 2 Assumptions'!$B$368*0.5)/20)</f>
        <v>1.6875000000000001E-4</v>
      </c>
      <c r="P543" s="52">
        <f>('Scenario 2 Assumptions'!$B$279*('Scenario 2 Assumptions'!$B$368*0.5)/20)</f>
        <v>1.6875000000000001E-4</v>
      </c>
      <c r="Q543" s="52">
        <f>('Scenario 2 Assumptions'!$B$279*('Scenario 2 Assumptions'!$B$368*0.5)/20)</f>
        <v>1.6875000000000001E-4</v>
      </c>
      <c r="R543" s="52">
        <f>('Scenario 2 Assumptions'!$B$279*('Scenario 2 Assumptions'!$B$368*0.5)/20)</f>
        <v>1.6875000000000001E-4</v>
      </c>
      <c r="S543" s="52">
        <f>('Scenario 2 Assumptions'!$B$279*('Scenario 2 Assumptions'!$B$368*0.5)/20)</f>
        <v>1.6875000000000001E-4</v>
      </c>
      <c r="T543" s="52">
        <f>('Scenario 2 Assumptions'!$B$279*('Scenario 2 Assumptions'!$B$368*0.5)/20)</f>
        <v>1.6875000000000001E-4</v>
      </c>
      <c r="U543" s="52">
        <f>('Scenario 2 Assumptions'!$B$279*('Scenario 2 Assumptions'!$B$368*0.5)/20)</f>
        <v>1.6875000000000001E-4</v>
      </c>
      <c r="V543" s="180">
        <f t="shared" ref="V543:V544" si="639">SUM(B543:U543)</f>
        <v>3.3750000000000008E-3</v>
      </c>
      <c r="W543" s="53">
        <f t="shared" ref="W543:W544" si="640">V543/20</f>
        <v>1.6875000000000004E-4</v>
      </c>
    </row>
    <row r="544" spans="1:23" ht="13.5" customHeight="1">
      <c r="A544" s="49" t="s">
        <v>664</v>
      </c>
      <c r="B544" s="34">
        <f>SUM(B542:B543)</f>
        <v>1.6875000000000001E-4</v>
      </c>
      <c r="C544" s="34">
        <f t="shared" ref="C544" si="641">SUM(C542:C543)</f>
        <v>1.6875000000000001E-4</v>
      </c>
      <c r="D544" s="34">
        <f t="shared" ref="D544" si="642">SUM(D542:D543)</f>
        <v>1.6875000000000001E-4</v>
      </c>
      <c r="E544" s="34">
        <f t="shared" ref="E544" si="643">SUM(E542:E543)</f>
        <v>1.6875000000000001E-4</v>
      </c>
      <c r="F544" s="34">
        <f t="shared" ref="F544" si="644">SUM(F542:F543)</f>
        <v>1.6875000000000001E-4</v>
      </c>
      <c r="G544" s="34">
        <f t="shared" ref="G544" si="645">SUM(G542:G543)</f>
        <v>1.6875000000000001E-4</v>
      </c>
      <c r="H544" s="34">
        <f t="shared" ref="H544" si="646">SUM(H542:H543)</f>
        <v>1.6875000000000001E-4</v>
      </c>
      <c r="I544" s="34">
        <f t="shared" ref="I544" si="647">SUM(I542:I543)</f>
        <v>1.6875000000000001E-4</v>
      </c>
      <c r="J544" s="34">
        <f t="shared" ref="J544" si="648">SUM(J542:J543)</f>
        <v>1.6875000000000001E-4</v>
      </c>
      <c r="K544" s="34">
        <f t="shared" ref="K544" si="649">SUM(K542:K543)</f>
        <v>1.6875000000000001E-4</v>
      </c>
      <c r="L544" s="34">
        <f t="shared" ref="L544" si="650">SUM(L542:L543)</f>
        <v>1.6875000000000001E-4</v>
      </c>
      <c r="M544" s="34">
        <f t="shared" ref="M544" si="651">SUM(M542:M543)</f>
        <v>1.6875000000000001E-4</v>
      </c>
      <c r="N544" s="34">
        <f t="shared" ref="N544" si="652">SUM(N542:N543)</f>
        <v>1.6875000000000001E-4</v>
      </c>
      <c r="O544" s="34">
        <f t="shared" ref="O544" si="653">SUM(O542:O543)</f>
        <v>1.6875000000000001E-4</v>
      </c>
      <c r="P544" s="34">
        <f t="shared" ref="P544" si="654">SUM(P542:P543)</f>
        <v>1.6875000000000001E-4</v>
      </c>
      <c r="Q544" s="34">
        <f t="shared" ref="Q544" si="655">SUM(Q542:Q543)</f>
        <v>1.6875000000000001E-4</v>
      </c>
      <c r="R544" s="34">
        <f t="shared" ref="R544" si="656">SUM(R542:R543)</f>
        <v>1.6875000000000001E-4</v>
      </c>
      <c r="S544" s="34">
        <f t="shared" ref="S544" si="657">SUM(S542:S543)</f>
        <v>1.6875000000000001E-4</v>
      </c>
      <c r="T544" s="34">
        <f t="shared" ref="T544" si="658">SUM(T542:T543)</f>
        <v>1.6875000000000001E-4</v>
      </c>
      <c r="U544" s="34">
        <f t="shared" ref="U544" si="659">SUM(U542:U543)</f>
        <v>1.6875000000000001E-4</v>
      </c>
      <c r="V544" s="180">
        <f t="shared" si="639"/>
        <v>3.3750000000000008E-3</v>
      </c>
      <c r="W544" s="53">
        <f t="shared" si="640"/>
        <v>1.6875000000000004E-4</v>
      </c>
    </row>
    <row r="545" spans="1:23" s="81" customFormat="1">
      <c r="A545" s="134" t="s">
        <v>123</v>
      </c>
      <c r="B545" s="52">
        <v>0.96618357487922713</v>
      </c>
      <c r="C545" s="52">
        <v>0.93351070036640305</v>
      </c>
      <c r="D545" s="52">
        <v>0.90194270566802237</v>
      </c>
      <c r="E545" s="52">
        <v>0.87144222769857238</v>
      </c>
      <c r="F545" s="52">
        <v>0.84197316685852419</v>
      </c>
      <c r="G545" s="52">
        <v>0.81350064430775282</v>
      </c>
      <c r="H545" s="52">
        <v>0.78599096068381913</v>
      </c>
      <c r="I545" s="52">
        <v>0.75941155621625056</v>
      </c>
      <c r="J545" s="52">
        <v>0.73373097218961414</v>
      </c>
      <c r="K545" s="52">
        <v>0.70891881370977217</v>
      </c>
      <c r="L545" s="52">
        <v>0.68494571372924851</v>
      </c>
      <c r="M545" s="52">
        <v>0.66178329828912896</v>
      </c>
      <c r="N545" s="52">
        <v>0.63940415293635666</v>
      </c>
      <c r="O545" s="52">
        <v>0.61778179027667302</v>
      </c>
      <c r="P545" s="52">
        <v>0.59689061862480497</v>
      </c>
      <c r="Q545" s="52">
        <v>0.57670591171478747</v>
      </c>
      <c r="R545" s="52">
        <v>0.55720377943457733</v>
      </c>
      <c r="S545" s="52">
        <v>0.53836113955031628</v>
      </c>
      <c r="T545" s="52">
        <v>0.52015569038677911</v>
      </c>
      <c r="U545" s="52">
        <v>0.50256588443167061</v>
      </c>
      <c r="V545" s="180"/>
      <c r="W545" s="133"/>
    </row>
    <row r="546" spans="1:23">
      <c r="A546" s="50" t="s">
        <v>1069</v>
      </c>
      <c r="B546" s="34">
        <f t="shared" ref="B546:U546" si="660">B545*B544</f>
        <v>1.6304347826086958E-4</v>
      </c>
      <c r="C546" s="34">
        <f t="shared" si="660"/>
        <v>1.5752993068683053E-4</v>
      </c>
      <c r="D546" s="34">
        <f t="shared" si="660"/>
        <v>1.5220283158147877E-4</v>
      </c>
      <c r="E546" s="34">
        <f t="shared" si="660"/>
        <v>1.4705587592413411E-4</v>
      </c>
      <c r="F546" s="34">
        <f t="shared" si="660"/>
        <v>1.4208297190737598E-4</v>
      </c>
      <c r="G546" s="34">
        <f t="shared" si="660"/>
        <v>1.372782337269333E-4</v>
      </c>
      <c r="H546" s="34">
        <f t="shared" si="660"/>
        <v>1.3263597461539447E-4</v>
      </c>
      <c r="I546" s="34">
        <f t="shared" si="660"/>
        <v>1.281507001114923E-4</v>
      </c>
      <c r="J546" s="34">
        <f t="shared" si="660"/>
        <v>1.238171015569974E-4</v>
      </c>
      <c r="K546" s="34">
        <f t="shared" si="660"/>
        <v>1.1963004981352407E-4</v>
      </c>
      <c r="L546" s="34">
        <f t="shared" si="660"/>
        <v>1.1558458919181069E-4</v>
      </c>
      <c r="M546" s="34">
        <f t="shared" si="660"/>
        <v>1.1167593158629052E-4</v>
      </c>
      <c r="N546" s="34">
        <f t="shared" si="660"/>
        <v>1.0789945080801019E-4</v>
      </c>
      <c r="O546" s="34">
        <f t="shared" si="660"/>
        <v>1.0425067710918858E-4</v>
      </c>
      <c r="P546" s="34">
        <f t="shared" si="660"/>
        <v>1.0072529189293584E-4</v>
      </c>
      <c r="Q546" s="34">
        <f t="shared" si="660"/>
        <v>9.7319122601870396E-5</v>
      </c>
      <c r="R546" s="34">
        <f t="shared" si="660"/>
        <v>9.402813777958493E-5</v>
      </c>
      <c r="S546" s="34">
        <f t="shared" si="660"/>
        <v>9.0848442299115879E-5</v>
      </c>
      <c r="T546" s="34">
        <f t="shared" si="660"/>
        <v>8.7776272752768973E-5</v>
      </c>
      <c r="U546" s="34">
        <f t="shared" si="660"/>
        <v>8.4807992997844422E-5</v>
      </c>
      <c r="V546" s="182">
        <f>SUM(B546:U546)</f>
        <v>2.3983430572044511E-3</v>
      </c>
      <c r="W546" s="35"/>
    </row>
    <row r="547" spans="1:23">
      <c r="A547" s="48"/>
      <c r="B547" s="52"/>
      <c r="C547" s="52"/>
      <c r="D547" s="52"/>
      <c r="E547" s="52"/>
      <c r="F547" s="52"/>
      <c r="G547" s="52"/>
      <c r="H547" s="52"/>
      <c r="I547" s="52"/>
      <c r="J547" s="52"/>
      <c r="K547" s="52"/>
      <c r="L547" s="52"/>
      <c r="M547" s="52"/>
      <c r="N547" s="52"/>
      <c r="O547" s="52"/>
      <c r="P547" s="52"/>
      <c r="Q547" s="52"/>
      <c r="R547" s="52"/>
      <c r="S547" s="52"/>
      <c r="T547" s="52"/>
      <c r="U547" s="52"/>
      <c r="V547" s="180"/>
      <c r="W547" s="53"/>
    </row>
    <row r="548" spans="1:23">
      <c r="A548" s="135" t="s">
        <v>1189</v>
      </c>
      <c r="B548" s="52"/>
      <c r="C548" s="52"/>
      <c r="D548" s="52"/>
      <c r="E548" s="52"/>
      <c r="F548" s="52"/>
      <c r="G548" s="52"/>
      <c r="H548" s="52"/>
      <c r="I548" s="52"/>
      <c r="J548" s="52"/>
      <c r="K548" s="52"/>
      <c r="L548" s="52"/>
      <c r="M548" s="52"/>
      <c r="N548" s="52"/>
      <c r="O548" s="52"/>
      <c r="P548" s="52"/>
      <c r="Q548" s="52"/>
      <c r="R548" s="52"/>
      <c r="S548" s="52"/>
      <c r="T548" s="52"/>
      <c r="U548" s="52"/>
      <c r="V548" s="180"/>
      <c r="W548" s="53"/>
    </row>
    <row r="549" spans="1:23">
      <c r="A549" s="200" t="s">
        <v>679</v>
      </c>
      <c r="B549" s="52">
        <f t="shared" ref="B549:U549" si="661">B18</f>
        <v>6.7499999999999999E-3</v>
      </c>
      <c r="C549" s="52">
        <f t="shared" si="661"/>
        <v>0</v>
      </c>
      <c r="D549" s="52">
        <f t="shared" si="661"/>
        <v>0</v>
      </c>
      <c r="E549" s="52">
        <f t="shared" si="661"/>
        <v>6.7499999999999999E-3</v>
      </c>
      <c r="F549" s="52">
        <f t="shared" si="661"/>
        <v>0</v>
      </c>
      <c r="G549" s="52">
        <f t="shared" si="661"/>
        <v>0</v>
      </c>
      <c r="H549" s="52">
        <f t="shared" si="661"/>
        <v>6.7499999999999999E-3</v>
      </c>
      <c r="I549" s="52">
        <f t="shared" si="661"/>
        <v>0</v>
      </c>
      <c r="J549" s="52">
        <f t="shared" si="661"/>
        <v>0</v>
      </c>
      <c r="K549" s="52">
        <f t="shared" si="661"/>
        <v>6.7499999999999999E-3</v>
      </c>
      <c r="L549" s="52">
        <f t="shared" si="661"/>
        <v>0</v>
      </c>
      <c r="M549" s="52">
        <f t="shared" si="661"/>
        <v>0</v>
      </c>
      <c r="N549" s="52">
        <f t="shared" si="661"/>
        <v>6.7499999999999999E-3</v>
      </c>
      <c r="O549" s="52">
        <f t="shared" si="661"/>
        <v>0</v>
      </c>
      <c r="P549" s="52">
        <f t="shared" si="661"/>
        <v>0</v>
      </c>
      <c r="Q549" s="52">
        <f t="shared" si="661"/>
        <v>6.7499999999999999E-3</v>
      </c>
      <c r="R549" s="52">
        <f t="shared" si="661"/>
        <v>0</v>
      </c>
      <c r="S549" s="52">
        <f t="shared" si="661"/>
        <v>0</v>
      </c>
      <c r="T549" s="52">
        <f t="shared" si="661"/>
        <v>6.7499999999999999E-3</v>
      </c>
      <c r="U549" s="52">
        <f t="shared" si="661"/>
        <v>0</v>
      </c>
      <c r="V549" s="180">
        <f>SUM(B549:U549)</f>
        <v>4.725E-2</v>
      </c>
      <c r="W549" s="53">
        <f>V549/20</f>
        <v>2.3625E-3</v>
      </c>
    </row>
    <row r="550" spans="1:23" s="3" customFormat="1">
      <c r="A550" s="200" t="s">
        <v>680</v>
      </c>
      <c r="B550" s="52">
        <f>('Scenario 2 Assumptions'!$B$279*('Scenario 2 Assumptions'!$B$369*0.5)/20)</f>
        <v>1.6875000000000001E-4</v>
      </c>
      <c r="C550" s="52">
        <f>('Scenario 2 Assumptions'!$B$279*('Scenario 2 Assumptions'!$B$369*0.5)/20)</f>
        <v>1.6875000000000001E-4</v>
      </c>
      <c r="D550" s="52">
        <f>('Scenario 2 Assumptions'!$B$279*('Scenario 2 Assumptions'!$B$369*0.5)/20)</f>
        <v>1.6875000000000001E-4</v>
      </c>
      <c r="E550" s="52">
        <f>('Scenario 2 Assumptions'!$B$279*('Scenario 2 Assumptions'!$B$369*0.5)/20)</f>
        <v>1.6875000000000001E-4</v>
      </c>
      <c r="F550" s="52">
        <f>('Scenario 2 Assumptions'!$B$279*('Scenario 2 Assumptions'!$B$369*0.5)/20)</f>
        <v>1.6875000000000001E-4</v>
      </c>
      <c r="G550" s="52">
        <f>('Scenario 2 Assumptions'!$B$279*('Scenario 2 Assumptions'!$B$369*0.5)/20)</f>
        <v>1.6875000000000001E-4</v>
      </c>
      <c r="H550" s="52">
        <f>('Scenario 2 Assumptions'!$B$279*('Scenario 2 Assumptions'!$B$369*0.5)/20)</f>
        <v>1.6875000000000001E-4</v>
      </c>
      <c r="I550" s="52">
        <f>('Scenario 2 Assumptions'!$B$279*('Scenario 2 Assumptions'!$B$369*0.5)/20)</f>
        <v>1.6875000000000001E-4</v>
      </c>
      <c r="J550" s="52">
        <f>('Scenario 2 Assumptions'!$B$279*('Scenario 2 Assumptions'!$B$369*0.5)/20)</f>
        <v>1.6875000000000001E-4</v>
      </c>
      <c r="K550" s="52">
        <f>('Scenario 2 Assumptions'!$B$279*('Scenario 2 Assumptions'!$B$369*0.5)/20)</f>
        <v>1.6875000000000001E-4</v>
      </c>
      <c r="L550" s="52">
        <f>('Scenario 2 Assumptions'!$B$279*('Scenario 2 Assumptions'!$B$369*0.5)/20)</f>
        <v>1.6875000000000001E-4</v>
      </c>
      <c r="M550" s="52">
        <f>('Scenario 2 Assumptions'!$B$279*('Scenario 2 Assumptions'!$B$369*0.5)/20)</f>
        <v>1.6875000000000001E-4</v>
      </c>
      <c r="N550" s="52">
        <f>('Scenario 2 Assumptions'!$B$279*('Scenario 2 Assumptions'!$B$369*0.5)/20)</f>
        <v>1.6875000000000001E-4</v>
      </c>
      <c r="O550" s="52">
        <f>('Scenario 2 Assumptions'!$B$279*('Scenario 2 Assumptions'!$B$369*0.5)/20)</f>
        <v>1.6875000000000001E-4</v>
      </c>
      <c r="P550" s="52">
        <f>('Scenario 2 Assumptions'!$B$279*('Scenario 2 Assumptions'!$B$369*0.5)/20)</f>
        <v>1.6875000000000001E-4</v>
      </c>
      <c r="Q550" s="52">
        <f>('Scenario 2 Assumptions'!$B$279*('Scenario 2 Assumptions'!$B$369*0.5)/20)</f>
        <v>1.6875000000000001E-4</v>
      </c>
      <c r="R550" s="52">
        <f>('Scenario 2 Assumptions'!$B$279*('Scenario 2 Assumptions'!$B$369*0.5)/20)</f>
        <v>1.6875000000000001E-4</v>
      </c>
      <c r="S550" s="52">
        <f>('Scenario 2 Assumptions'!$B$279*('Scenario 2 Assumptions'!$B$369*0.5)/20)</f>
        <v>1.6875000000000001E-4</v>
      </c>
      <c r="T550" s="52">
        <f>('Scenario 2 Assumptions'!$B$279*('Scenario 2 Assumptions'!$B$369*0.5)/20)</f>
        <v>1.6875000000000001E-4</v>
      </c>
      <c r="U550" s="52">
        <f>('Scenario 2 Assumptions'!$B$279*('Scenario 2 Assumptions'!$B$369*0.5)/20)</f>
        <v>1.6875000000000001E-4</v>
      </c>
      <c r="V550" s="180">
        <f t="shared" ref="V550:V551" si="662">SUM(B550:U550)</f>
        <v>3.3750000000000008E-3</v>
      </c>
      <c r="W550" s="53">
        <f t="shared" ref="W550:W551" si="663">V550/20</f>
        <v>1.6875000000000004E-4</v>
      </c>
    </row>
    <row r="551" spans="1:23" ht="13.5" customHeight="1">
      <c r="A551" s="49" t="s">
        <v>664</v>
      </c>
      <c r="B551" s="34">
        <f>SUM(B549:B550)</f>
        <v>6.9187499999999996E-3</v>
      </c>
      <c r="C551" s="34">
        <f t="shared" ref="C551" si="664">SUM(C549:C550)</f>
        <v>1.6875000000000001E-4</v>
      </c>
      <c r="D551" s="34">
        <f t="shared" ref="D551" si="665">SUM(D549:D550)</f>
        <v>1.6875000000000001E-4</v>
      </c>
      <c r="E551" s="34">
        <f t="shared" ref="E551" si="666">SUM(E549:E550)</f>
        <v>6.9187499999999996E-3</v>
      </c>
      <c r="F551" s="34">
        <f t="shared" ref="F551" si="667">SUM(F549:F550)</f>
        <v>1.6875000000000001E-4</v>
      </c>
      <c r="G551" s="34">
        <f t="shared" ref="G551" si="668">SUM(G549:G550)</f>
        <v>1.6875000000000001E-4</v>
      </c>
      <c r="H551" s="34">
        <f t="shared" ref="H551" si="669">SUM(H549:H550)</f>
        <v>6.9187499999999996E-3</v>
      </c>
      <c r="I551" s="34">
        <f t="shared" ref="I551" si="670">SUM(I549:I550)</f>
        <v>1.6875000000000001E-4</v>
      </c>
      <c r="J551" s="34">
        <f t="shared" ref="J551" si="671">SUM(J549:J550)</f>
        <v>1.6875000000000001E-4</v>
      </c>
      <c r="K551" s="34">
        <f t="shared" ref="K551" si="672">SUM(K549:K550)</f>
        <v>6.9187499999999996E-3</v>
      </c>
      <c r="L551" s="34">
        <f t="shared" ref="L551" si="673">SUM(L549:L550)</f>
        <v>1.6875000000000001E-4</v>
      </c>
      <c r="M551" s="34">
        <f t="shared" ref="M551" si="674">SUM(M549:M550)</f>
        <v>1.6875000000000001E-4</v>
      </c>
      <c r="N551" s="34">
        <f t="shared" ref="N551" si="675">SUM(N549:N550)</f>
        <v>6.9187499999999996E-3</v>
      </c>
      <c r="O551" s="34">
        <f t="shared" ref="O551" si="676">SUM(O549:O550)</f>
        <v>1.6875000000000001E-4</v>
      </c>
      <c r="P551" s="34">
        <f t="shared" ref="P551" si="677">SUM(P549:P550)</f>
        <v>1.6875000000000001E-4</v>
      </c>
      <c r="Q551" s="34">
        <f t="shared" ref="Q551" si="678">SUM(Q549:Q550)</f>
        <v>6.9187499999999996E-3</v>
      </c>
      <c r="R551" s="34">
        <f t="shared" ref="R551" si="679">SUM(R549:R550)</f>
        <v>1.6875000000000001E-4</v>
      </c>
      <c r="S551" s="34">
        <f t="shared" ref="S551" si="680">SUM(S549:S550)</f>
        <v>1.6875000000000001E-4</v>
      </c>
      <c r="T551" s="34">
        <f t="shared" ref="T551" si="681">SUM(T549:T550)</f>
        <v>6.9187499999999996E-3</v>
      </c>
      <c r="U551" s="34">
        <f t="shared" ref="U551" si="682">SUM(U549:U550)</f>
        <v>1.6875000000000001E-4</v>
      </c>
      <c r="V551" s="180">
        <f t="shared" si="662"/>
        <v>5.062500000000001E-2</v>
      </c>
      <c r="W551" s="53">
        <f t="shared" si="663"/>
        <v>2.5312500000000005E-3</v>
      </c>
    </row>
    <row r="552" spans="1:23" s="81" customFormat="1">
      <c r="A552" s="134" t="s">
        <v>123</v>
      </c>
      <c r="B552" s="52">
        <v>0.96618357487922713</v>
      </c>
      <c r="C552" s="52">
        <v>0.93351070036640305</v>
      </c>
      <c r="D552" s="52">
        <v>0.90194270566802237</v>
      </c>
      <c r="E552" s="52">
        <v>0.87144222769857238</v>
      </c>
      <c r="F552" s="52">
        <v>0.84197316685852419</v>
      </c>
      <c r="G552" s="52">
        <v>0.81350064430775282</v>
      </c>
      <c r="H552" s="52">
        <v>0.78599096068381913</v>
      </c>
      <c r="I552" s="52">
        <v>0.75941155621625056</v>
      </c>
      <c r="J552" s="52">
        <v>0.73373097218961414</v>
      </c>
      <c r="K552" s="52">
        <v>0.70891881370977217</v>
      </c>
      <c r="L552" s="52">
        <v>0.68494571372924851</v>
      </c>
      <c r="M552" s="52">
        <v>0.66178329828912896</v>
      </c>
      <c r="N552" s="52">
        <v>0.63940415293635666</v>
      </c>
      <c r="O552" s="52">
        <v>0.61778179027667302</v>
      </c>
      <c r="P552" s="52">
        <v>0.59689061862480497</v>
      </c>
      <c r="Q552" s="52">
        <v>0.57670591171478747</v>
      </c>
      <c r="R552" s="52">
        <v>0.55720377943457733</v>
      </c>
      <c r="S552" s="52">
        <v>0.53836113955031628</v>
      </c>
      <c r="T552" s="52">
        <v>0.52015569038677911</v>
      </c>
      <c r="U552" s="52">
        <v>0.50256588443167061</v>
      </c>
      <c r="V552" s="180"/>
      <c r="W552" s="133"/>
    </row>
    <row r="553" spans="1:23">
      <c r="A553" s="50" t="s">
        <v>1069</v>
      </c>
      <c r="B553" s="34">
        <f t="shared" ref="B553:U553" si="683">B552*B551</f>
        <v>6.6847826086956523E-3</v>
      </c>
      <c r="C553" s="34">
        <f t="shared" si="683"/>
        <v>1.5752993068683053E-4</v>
      </c>
      <c r="D553" s="34">
        <f t="shared" si="683"/>
        <v>1.5220283158147877E-4</v>
      </c>
      <c r="E553" s="34">
        <f t="shared" si="683"/>
        <v>6.0292909128894972E-3</v>
      </c>
      <c r="F553" s="34">
        <f t="shared" si="683"/>
        <v>1.4208297190737598E-4</v>
      </c>
      <c r="G553" s="34">
        <f t="shared" si="683"/>
        <v>1.372782337269333E-4</v>
      </c>
      <c r="H553" s="34">
        <f t="shared" si="683"/>
        <v>5.438074959231173E-3</v>
      </c>
      <c r="I553" s="34">
        <f t="shared" si="683"/>
        <v>1.281507001114923E-4</v>
      </c>
      <c r="J553" s="34">
        <f t="shared" si="683"/>
        <v>1.238171015569974E-4</v>
      </c>
      <c r="K553" s="34">
        <f t="shared" si="683"/>
        <v>4.9048320423544858E-3</v>
      </c>
      <c r="L553" s="34">
        <f t="shared" si="683"/>
        <v>1.1558458919181069E-4</v>
      </c>
      <c r="M553" s="34">
        <f t="shared" si="683"/>
        <v>1.1167593158629052E-4</v>
      </c>
      <c r="N553" s="34">
        <f t="shared" si="683"/>
        <v>4.4238774831284172E-3</v>
      </c>
      <c r="O553" s="34">
        <f t="shared" si="683"/>
        <v>1.0425067710918858E-4</v>
      </c>
      <c r="P553" s="34">
        <f t="shared" si="683"/>
        <v>1.0072529189293584E-4</v>
      </c>
      <c r="Q553" s="34">
        <f t="shared" si="683"/>
        <v>3.9900840266766857E-3</v>
      </c>
      <c r="R553" s="34">
        <f t="shared" si="683"/>
        <v>9.402813777958493E-5</v>
      </c>
      <c r="S553" s="34">
        <f t="shared" si="683"/>
        <v>9.0848442299115879E-5</v>
      </c>
      <c r="T553" s="34">
        <f t="shared" si="683"/>
        <v>3.5988271828635279E-3</v>
      </c>
      <c r="U553" s="34">
        <f t="shared" si="683"/>
        <v>8.4807992997844422E-5</v>
      </c>
      <c r="V553" s="182">
        <f>SUM(B553:U553)</f>
        <v>3.6612752048267319E-2</v>
      </c>
      <c r="W553" s="35"/>
    </row>
    <row r="554" spans="1:23">
      <c r="A554" s="48"/>
      <c r="B554" s="52"/>
      <c r="C554" s="52"/>
      <c r="D554" s="52"/>
      <c r="E554" s="52"/>
      <c r="F554" s="52"/>
      <c r="G554" s="52"/>
      <c r="H554" s="52"/>
      <c r="I554" s="52"/>
      <c r="J554" s="52"/>
      <c r="K554" s="52"/>
      <c r="L554" s="52"/>
      <c r="M554" s="52"/>
      <c r="N554" s="52"/>
      <c r="O554" s="52"/>
      <c r="P554" s="52"/>
      <c r="Q554" s="52"/>
      <c r="R554" s="52"/>
      <c r="S554" s="52"/>
      <c r="T554" s="52"/>
      <c r="U554" s="52"/>
      <c r="V554" s="180"/>
      <c r="W554" s="53"/>
    </row>
    <row r="555" spans="1:23">
      <c r="A555" s="135" t="s">
        <v>1100</v>
      </c>
      <c r="B555" s="52"/>
      <c r="C555" s="52"/>
      <c r="D555" s="52"/>
      <c r="E555" s="52"/>
      <c r="F555" s="52"/>
      <c r="G555" s="52"/>
      <c r="H555" s="52"/>
      <c r="I555" s="52"/>
      <c r="J555" s="52"/>
      <c r="K555" s="52"/>
      <c r="L555" s="52"/>
      <c r="M555" s="52"/>
      <c r="N555" s="52"/>
      <c r="O555" s="52"/>
      <c r="P555" s="52"/>
      <c r="Q555" s="52"/>
      <c r="R555" s="52"/>
      <c r="S555" s="52"/>
      <c r="T555" s="52"/>
      <c r="U555" s="52"/>
      <c r="V555" s="180"/>
      <c r="W555" s="53"/>
    </row>
    <row r="556" spans="1:23">
      <c r="A556" s="200" t="s">
        <v>679</v>
      </c>
      <c r="B556" s="52">
        <f t="shared" ref="B556:U556" si="684">B19</f>
        <v>6.7499999999999999E-3</v>
      </c>
      <c r="C556" s="52">
        <f t="shared" si="684"/>
        <v>0</v>
      </c>
      <c r="D556" s="52">
        <f t="shared" si="684"/>
        <v>0</v>
      </c>
      <c r="E556" s="52">
        <f t="shared" si="684"/>
        <v>6.7499999999999999E-3</v>
      </c>
      <c r="F556" s="52">
        <f t="shared" si="684"/>
        <v>0</v>
      </c>
      <c r="G556" s="52">
        <f t="shared" si="684"/>
        <v>0</v>
      </c>
      <c r="H556" s="52">
        <f t="shared" si="684"/>
        <v>6.7499999999999999E-3</v>
      </c>
      <c r="I556" s="52">
        <f t="shared" si="684"/>
        <v>0</v>
      </c>
      <c r="J556" s="52">
        <f t="shared" si="684"/>
        <v>0</v>
      </c>
      <c r="K556" s="52">
        <f t="shared" si="684"/>
        <v>6.7499999999999999E-3</v>
      </c>
      <c r="L556" s="52">
        <f t="shared" si="684"/>
        <v>0</v>
      </c>
      <c r="M556" s="52">
        <f t="shared" si="684"/>
        <v>0</v>
      </c>
      <c r="N556" s="52">
        <f t="shared" si="684"/>
        <v>6.7499999999999999E-3</v>
      </c>
      <c r="O556" s="52">
        <f t="shared" si="684"/>
        <v>0</v>
      </c>
      <c r="P556" s="52">
        <f t="shared" si="684"/>
        <v>0</v>
      </c>
      <c r="Q556" s="52">
        <f t="shared" si="684"/>
        <v>6.7499999999999999E-3</v>
      </c>
      <c r="R556" s="52">
        <f t="shared" si="684"/>
        <v>0</v>
      </c>
      <c r="S556" s="52">
        <f t="shared" si="684"/>
        <v>0</v>
      </c>
      <c r="T556" s="52">
        <f t="shared" si="684"/>
        <v>6.7499999999999999E-3</v>
      </c>
      <c r="U556" s="52">
        <f t="shared" si="684"/>
        <v>0</v>
      </c>
      <c r="V556" s="180">
        <f>SUM(B556:U556)</f>
        <v>4.725E-2</v>
      </c>
      <c r="W556" s="53">
        <f>V556/20</f>
        <v>2.3625E-3</v>
      </c>
    </row>
    <row r="557" spans="1:23" s="3" customFormat="1">
      <c r="A557" s="200" t="s">
        <v>680</v>
      </c>
      <c r="B557" s="52">
        <f>('Scenario 2 Assumptions'!$B$279*('Scenario 2 Assumptions'!$B$370*0.5)/20)+B31+B50</f>
        <v>5.6187499999999996E-3</v>
      </c>
      <c r="C557" s="52">
        <f>('Scenario 2 Assumptions'!$B$279*('Scenario 2 Assumptions'!$B$370*0.5)/20)+C31+C50</f>
        <v>5.6187499999999996E-3</v>
      </c>
      <c r="D557" s="52">
        <f>('Scenario 2 Assumptions'!$B$279*('Scenario 2 Assumptions'!$B$370*0.5)/20)+D31+D50</f>
        <v>5.6187499999999996E-3</v>
      </c>
      <c r="E557" s="52">
        <f>('Scenario 2 Assumptions'!$B$279*('Scenario 2 Assumptions'!$B$370*0.5)/20)+E31+E50</f>
        <v>5.6187499999999996E-3</v>
      </c>
      <c r="F557" s="52">
        <f>('Scenario 2 Assumptions'!$B$279*('Scenario 2 Assumptions'!$B$370*0.5)/20)+F31+F50</f>
        <v>5.6187499999999996E-3</v>
      </c>
      <c r="G557" s="52">
        <f>('Scenario 2 Assumptions'!$B$279*('Scenario 2 Assumptions'!$B$370*0.5)/20)+G31+G50</f>
        <v>5.6187499999999996E-3</v>
      </c>
      <c r="H557" s="52">
        <f>('Scenario 2 Assumptions'!$B$279*('Scenario 2 Assumptions'!$B$370*0.5)/20)+H31+H50</f>
        <v>5.6187499999999996E-3</v>
      </c>
      <c r="I557" s="52">
        <f>('Scenario 2 Assumptions'!$B$279*('Scenario 2 Assumptions'!$B$370*0.5)/20)+I31+I50</f>
        <v>5.6187499999999996E-3</v>
      </c>
      <c r="J557" s="52">
        <f>('Scenario 2 Assumptions'!$B$279*('Scenario 2 Assumptions'!$B$370*0.5)/20)+J31+J50</f>
        <v>5.6187499999999996E-3</v>
      </c>
      <c r="K557" s="52">
        <f>('Scenario 2 Assumptions'!$B$279*('Scenario 2 Assumptions'!$B$370*0.5)/20)+K31+K50</f>
        <v>5.6187499999999996E-3</v>
      </c>
      <c r="L557" s="52">
        <f>('Scenario 2 Assumptions'!$B$279*('Scenario 2 Assumptions'!$B$370*0.5)/20)+L31+L50</f>
        <v>5.6187499999999996E-3</v>
      </c>
      <c r="M557" s="52">
        <f>('Scenario 2 Assumptions'!$B$279*('Scenario 2 Assumptions'!$B$370*0.5)/20)+M31+M50</f>
        <v>5.6187499999999996E-3</v>
      </c>
      <c r="N557" s="52">
        <f>('Scenario 2 Assumptions'!$B$279*('Scenario 2 Assumptions'!$B$370*0.5)/20)+N31+N50</f>
        <v>5.6187499999999996E-3</v>
      </c>
      <c r="O557" s="52">
        <f>('Scenario 2 Assumptions'!$B$279*('Scenario 2 Assumptions'!$B$370*0.5)/20)+O31+O50</f>
        <v>5.6187499999999996E-3</v>
      </c>
      <c r="P557" s="52">
        <f>('Scenario 2 Assumptions'!$B$279*('Scenario 2 Assumptions'!$B$370*0.5)/20)+P31+P50</f>
        <v>5.6187499999999996E-3</v>
      </c>
      <c r="Q557" s="52">
        <f>('Scenario 2 Assumptions'!$B$279*('Scenario 2 Assumptions'!$B$370*0.5)/20)+Q31+Q50</f>
        <v>5.6187499999999996E-3</v>
      </c>
      <c r="R557" s="52">
        <f>('Scenario 2 Assumptions'!$B$279*('Scenario 2 Assumptions'!$B$370*0.5)/20)+R31+R50</f>
        <v>5.6187499999999996E-3</v>
      </c>
      <c r="S557" s="52">
        <f>('Scenario 2 Assumptions'!$B$279*('Scenario 2 Assumptions'!$B$370*0.5)/20)+S31+S50</f>
        <v>5.6187499999999996E-3</v>
      </c>
      <c r="T557" s="52">
        <f>('Scenario 2 Assumptions'!$B$279*('Scenario 2 Assumptions'!$B$370*0.5)/20)+T31+T50</f>
        <v>5.6187499999999996E-3</v>
      </c>
      <c r="U557" s="52">
        <f>('Scenario 2 Assumptions'!$B$279*('Scenario 2 Assumptions'!$B$370*0.5)/20)+U31+U50</f>
        <v>5.6187499999999996E-3</v>
      </c>
      <c r="V557" s="180">
        <f t="shared" ref="V557:V558" si="685">SUM(B557:U557)</f>
        <v>0.11237500000000004</v>
      </c>
      <c r="W557" s="53">
        <f t="shared" ref="W557:W558" si="686">V557/20</f>
        <v>5.6187500000000022E-3</v>
      </c>
    </row>
    <row r="558" spans="1:23" ht="13.5" customHeight="1">
      <c r="A558" s="49" t="s">
        <v>664</v>
      </c>
      <c r="B558" s="34">
        <f>SUM(B556:B557)</f>
        <v>1.236875E-2</v>
      </c>
      <c r="C558" s="34">
        <f t="shared" ref="C558" si="687">SUM(C556:C557)</f>
        <v>5.6187499999999996E-3</v>
      </c>
      <c r="D558" s="34">
        <f t="shared" ref="D558" si="688">SUM(D556:D557)</f>
        <v>5.6187499999999996E-3</v>
      </c>
      <c r="E558" s="34">
        <f t="shared" ref="E558" si="689">SUM(E556:E557)</f>
        <v>1.236875E-2</v>
      </c>
      <c r="F558" s="34">
        <f t="shared" ref="F558" si="690">SUM(F556:F557)</f>
        <v>5.6187499999999996E-3</v>
      </c>
      <c r="G558" s="34">
        <f t="shared" ref="G558" si="691">SUM(G556:G557)</f>
        <v>5.6187499999999996E-3</v>
      </c>
      <c r="H558" s="34">
        <f t="shared" ref="H558" si="692">SUM(H556:H557)</f>
        <v>1.236875E-2</v>
      </c>
      <c r="I558" s="34">
        <f t="shared" ref="I558" si="693">SUM(I556:I557)</f>
        <v>5.6187499999999996E-3</v>
      </c>
      <c r="J558" s="34">
        <f t="shared" ref="J558" si="694">SUM(J556:J557)</f>
        <v>5.6187499999999996E-3</v>
      </c>
      <c r="K558" s="34">
        <f t="shared" ref="K558" si="695">SUM(K556:K557)</f>
        <v>1.236875E-2</v>
      </c>
      <c r="L558" s="34">
        <f t="shared" ref="L558" si="696">SUM(L556:L557)</f>
        <v>5.6187499999999996E-3</v>
      </c>
      <c r="M558" s="34">
        <f t="shared" ref="M558" si="697">SUM(M556:M557)</f>
        <v>5.6187499999999996E-3</v>
      </c>
      <c r="N558" s="34">
        <f t="shared" ref="N558" si="698">SUM(N556:N557)</f>
        <v>1.236875E-2</v>
      </c>
      <c r="O558" s="34">
        <f t="shared" ref="O558" si="699">SUM(O556:O557)</f>
        <v>5.6187499999999996E-3</v>
      </c>
      <c r="P558" s="34">
        <f t="shared" ref="P558" si="700">SUM(P556:P557)</f>
        <v>5.6187499999999996E-3</v>
      </c>
      <c r="Q558" s="34">
        <f t="shared" ref="Q558" si="701">SUM(Q556:Q557)</f>
        <v>1.236875E-2</v>
      </c>
      <c r="R558" s="34">
        <f t="shared" ref="R558" si="702">SUM(R556:R557)</f>
        <v>5.6187499999999996E-3</v>
      </c>
      <c r="S558" s="34">
        <f t="shared" ref="S558" si="703">SUM(S556:S557)</f>
        <v>5.6187499999999996E-3</v>
      </c>
      <c r="T558" s="34">
        <f t="shared" ref="T558" si="704">SUM(T556:T557)</f>
        <v>1.236875E-2</v>
      </c>
      <c r="U558" s="34">
        <f t="shared" ref="U558" si="705">SUM(U556:U557)</f>
        <v>5.6187499999999996E-3</v>
      </c>
      <c r="V558" s="180">
        <f t="shared" si="685"/>
        <v>0.15962500000000004</v>
      </c>
      <c r="W558" s="53">
        <f t="shared" si="686"/>
        <v>7.9812500000000022E-3</v>
      </c>
    </row>
    <row r="559" spans="1:23" s="81" customFormat="1">
      <c r="A559" s="134" t="s">
        <v>123</v>
      </c>
      <c r="B559" s="52">
        <v>0.96618357487922713</v>
      </c>
      <c r="C559" s="52">
        <v>0.93351070036640305</v>
      </c>
      <c r="D559" s="52">
        <v>0.90194270566802237</v>
      </c>
      <c r="E559" s="52">
        <v>0.87144222769857238</v>
      </c>
      <c r="F559" s="52">
        <v>0.84197316685852419</v>
      </c>
      <c r="G559" s="52">
        <v>0.81350064430775282</v>
      </c>
      <c r="H559" s="52">
        <v>0.78599096068381913</v>
      </c>
      <c r="I559" s="52">
        <v>0.75941155621625056</v>
      </c>
      <c r="J559" s="52">
        <v>0.73373097218961414</v>
      </c>
      <c r="K559" s="52">
        <v>0.70891881370977217</v>
      </c>
      <c r="L559" s="52">
        <v>0.68494571372924851</v>
      </c>
      <c r="M559" s="52">
        <v>0.66178329828912896</v>
      </c>
      <c r="N559" s="52">
        <v>0.63940415293635666</v>
      </c>
      <c r="O559" s="52">
        <v>0.61778179027667302</v>
      </c>
      <c r="P559" s="52">
        <v>0.59689061862480497</v>
      </c>
      <c r="Q559" s="52">
        <v>0.57670591171478747</v>
      </c>
      <c r="R559" s="52">
        <v>0.55720377943457733</v>
      </c>
      <c r="S559" s="52">
        <v>0.53836113955031628</v>
      </c>
      <c r="T559" s="52">
        <v>0.52015569038677911</v>
      </c>
      <c r="U559" s="52">
        <v>0.50256588443167061</v>
      </c>
      <c r="V559" s="180"/>
      <c r="W559" s="133"/>
    </row>
    <row r="560" spans="1:23">
      <c r="A560" s="50" t="s">
        <v>1069</v>
      </c>
      <c r="B560" s="34">
        <f t="shared" ref="B560:U560" si="706">B559*B558</f>
        <v>1.195048309178744E-2</v>
      </c>
      <c r="C560" s="34">
        <f t="shared" si="706"/>
        <v>5.2451632476837266E-3</v>
      </c>
      <c r="D560" s="34">
        <f t="shared" si="706"/>
        <v>5.0677905774722002E-3</v>
      </c>
      <c r="E560" s="34">
        <f t="shared" si="706"/>
        <v>1.0778651053846717E-2</v>
      </c>
      <c r="F560" s="34">
        <f t="shared" si="706"/>
        <v>4.7308367312863323E-3</v>
      </c>
      <c r="G560" s="34">
        <f t="shared" si="706"/>
        <v>4.5708567452041856E-3</v>
      </c>
      <c r="H560" s="34">
        <f t="shared" si="706"/>
        <v>9.7217256949579875E-3</v>
      </c>
      <c r="I560" s="34">
        <f t="shared" si="706"/>
        <v>4.2669436814900576E-3</v>
      </c>
      <c r="J560" s="34">
        <f t="shared" si="706"/>
        <v>4.1226508999903941E-3</v>
      </c>
      <c r="K560" s="34">
        <f t="shared" si="706"/>
        <v>8.7684395770727449E-3</v>
      </c>
      <c r="L560" s="34">
        <f t="shared" si="706"/>
        <v>3.8485387290162149E-3</v>
      </c>
      <c r="M560" s="34">
        <f t="shared" si="706"/>
        <v>3.7183949072620431E-3</v>
      </c>
      <c r="N560" s="34">
        <f t="shared" si="706"/>
        <v>7.9086301166315619E-3</v>
      </c>
      <c r="O560" s="34">
        <f t="shared" si="706"/>
        <v>3.4711614341170561E-3</v>
      </c>
      <c r="P560" s="34">
        <f t="shared" si="706"/>
        <v>3.3537791633981226E-3</v>
      </c>
      <c r="Q560" s="34">
        <f t="shared" si="706"/>
        <v>7.133131245522277E-3</v>
      </c>
      <c r="R560" s="34">
        <f t="shared" si="706"/>
        <v>3.1307887356980309E-3</v>
      </c>
      <c r="S560" s="34">
        <f t="shared" si="706"/>
        <v>3.0249166528483395E-3</v>
      </c>
      <c r="T560" s="34">
        <f t="shared" si="706"/>
        <v>6.4336756954714736E-3</v>
      </c>
      <c r="U560" s="34">
        <f t="shared" si="706"/>
        <v>2.8237920631504492E-3</v>
      </c>
      <c r="V560" s="182">
        <f>SUM(B560:U560)</f>
        <v>0.11407035004390736</v>
      </c>
      <c r="W560" s="35"/>
    </row>
    <row r="561" spans="1:23">
      <c r="A561" s="48"/>
      <c r="B561" s="52"/>
      <c r="C561" s="52"/>
      <c r="D561" s="52"/>
      <c r="E561" s="52"/>
      <c r="F561" s="52"/>
      <c r="G561" s="52"/>
      <c r="H561" s="52"/>
      <c r="I561" s="52"/>
      <c r="J561" s="52"/>
      <c r="K561" s="52"/>
      <c r="L561" s="52"/>
      <c r="M561" s="52"/>
      <c r="N561" s="52"/>
      <c r="O561" s="52"/>
      <c r="P561" s="52"/>
      <c r="Q561" s="52"/>
      <c r="R561" s="52"/>
      <c r="S561" s="52"/>
      <c r="T561" s="52"/>
      <c r="U561" s="52"/>
      <c r="V561" s="180"/>
      <c r="W561" s="53"/>
    </row>
    <row r="562" spans="1:23">
      <c r="A562" s="135" t="s">
        <v>1188</v>
      </c>
      <c r="B562" s="52"/>
      <c r="C562" s="52"/>
      <c r="D562" s="52"/>
      <c r="E562" s="52"/>
      <c r="F562" s="52"/>
      <c r="G562" s="52"/>
      <c r="H562" s="52"/>
      <c r="I562" s="52"/>
      <c r="J562" s="52"/>
      <c r="K562" s="52"/>
      <c r="L562" s="52"/>
      <c r="M562" s="52"/>
      <c r="N562" s="52"/>
      <c r="O562" s="52"/>
      <c r="P562" s="52"/>
      <c r="Q562" s="52"/>
      <c r="R562" s="52"/>
      <c r="S562" s="52"/>
      <c r="T562" s="52"/>
      <c r="U562" s="52"/>
      <c r="V562" s="180"/>
      <c r="W562" s="31"/>
    </row>
    <row r="563" spans="1:23">
      <c r="A563" s="200" t="s">
        <v>679</v>
      </c>
      <c r="B563" s="52">
        <f t="shared" ref="B563:U563" si="707">B17</f>
        <v>1.35E-2</v>
      </c>
      <c r="C563" s="52">
        <f t="shared" si="707"/>
        <v>0</v>
      </c>
      <c r="D563" s="52">
        <f t="shared" si="707"/>
        <v>0</v>
      </c>
      <c r="E563" s="52">
        <f t="shared" si="707"/>
        <v>1.35E-2</v>
      </c>
      <c r="F563" s="52">
        <f t="shared" si="707"/>
        <v>0</v>
      </c>
      <c r="G563" s="52">
        <f t="shared" si="707"/>
        <v>0</v>
      </c>
      <c r="H563" s="52">
        <f t="shared" si="707"/>
        <v>1.35E-2</v>
      </c>
      <c r="I563" s="52">
        <f t="shared" si="707"/>
        <v>0</v>
      </c>
      <c r="J563" s="52">
        <f t="shared" si="707"/>
        <v>0</v>
      </c>
      <c r="K563" s="52">
        <f t="shared" si="707"/>
        <v>1.35E-2</v>
      </c>
      <c r="L563" s="52">
        <f t="shared" si="707"/>
        <v>0</v>
      </c>
      <c r="M563" s="52">
        <f t="shared" si="707"/>
        <v>0</v>
      </c>
      <c r="N563" s="52">
        <f t="shared" si="707"/>
        <v>1.35E-2</v>
      </c>
      <c r="O563" s="52">
        <f t="shared" si="707"/>
        <v>0</v>
      </c>
      <c r="P563" s="52">
        <f t="shared" si="707"/>
        <v>0</v>
      </c>
      <c r="Q563" s="52">
        <f t="shared" si="707"/>
        <v>1.35E-2</v>
      </c>
      <c r="R563" s="52">
        <f t="shared" si="707"/>
        <v>0</v>
      </c>
      <c r="S563" s="52">
        <f t="shared" si="707"/>
        <v>0</v>
      </c>
      <c r="T563" s="52">
        <f t="shared" si="707"/>
        <v>1.35E-2</v>
      </c>
      <c r="U563" s="52">
        <f t="shared" si="707"/>
        <v>0</v>
      </c>
      <c r="V563" s="180">
        <f>SUM(B563:U563)</f>
        <v>9.4500000000000001E-2</v>
      </c>
      <c r="W563" s="53">
        <f>V563/20</f>
        <v>4.725E-3</v>
      </c>
    </row>
    <row r="564" spans="1:23" s="3" customFormat="1">
      <c r="A564" s="200" t="s">
        <v>680</v>
      </c>
      <c r="B564" s="52">
        <f>('Scenario 2 Assumptions'!$B$279*('Scenario 2 Assumptions'!$B$371*0.5)/20)+B38</f>
        <v>3.3243750000000002E-2</v>
      </c>
      <c r="C564" s="52">
        <f>('Scenario 2 Assumptions'!$B$279*('Scenario 2 Assumptions'!$B$371*0.5)/20)+C38</f>
        <v>3.3243750000000002E-2</v>
      </c>
      <c r="D564" s="52">
        <f>('Scenario 2 Assumptions'!$B$279*('Scenario 2 Assumptions'!$B$371*0.5)/20)+D38</f>
        <v>3.3243750000000002E-2</v>
      </c>
      <c r="E564" s="52">
        <f>('Scenario 2 Assumptions'!$B$279*('Scenario 2 Assumptions'!$B$371*0.5)/20)+E38</f>
        <v>3.3243750000000002E-2</v>
      </c>
      <c r="F564" s="52">
        <f>('Scenario 2 Assumptions'!$B$279*('Scenario 2 Assumptions'!$B$371*0.5)/20)+F38</f>
        <v>3.3243750000000002E-2</v>
      </c>
      <c r="G564" s="52">
        <f>('Scenario 2 Assumptions'!$B$279*('Scenario 2 Assumptions'!$B$371*0.5)/20)+G38</f>
        <v>3.3243750000000002E-2</v>
      </c>
      <c r="H564" s="52">
        <f>('Scenario 2 Assumptions'!$B$279*('Scenario 2 Assumptions'!$B$371*0.5)/20)+H38</f>
        <v>3.3243750000000002E-2</v>
      </c>
      <c r="I564" s="52">
        <f>('Scenario 2 Assumptions'!$B$279*('Scenario 2 Assumptions'!$B$371*0.5)/20)+I38</f>
        <v>3.3243750000000002E-2</v>
      </c>
      <c r="J564" s="52">
        <f>('Scenario 2 Assumptions'!$B$279*('Scenario 2 Assumptions'!$B$371*0.5)/20)+J38</f>
        <v>3.3243750000000002E-2</v>
      </c>
      <c r="K564" s="52">
        <f>('Scenario 2 Assumptions'!$B$279*('Scenario 2 Assumptions'!$B$371*0.5)/20)+K38</f>
        <v>3.3243750000000002E-2</v>
      </c>
      <c r="L564" s="52">
        <f>('Scenario 2 Assumptions'!$B$279*('Scenario 2 Assumptions'!$B$371*0.5)/20)+L38</f>
        <v>3.3243750000000002E-2</v>
      </c>
      <c r="M564" s="52">
        <f>('Scenario 2 Assumptions'!$B$279*('Scenario 2 Assumptions'!$B$371*0.5)/20)+M38</f>
        <v>3.3243750000000002E-2</v>
      </c>
      <c r="N564" s="52">
        <f>('Scenario 2 Assumptions'!$B$279*('Scenario 2 Assumptions'!$B$371*0.5)/20)+N38</f>
        <v>3.3243750000000002E-2</v>
      </c>
      <c r="O564" s="52">
        <f>('Scenario 2 Assumptions'!$B$279*('Scenario 2 Assumptions'!$B$371*0.5)/20)+O38</f>
        <v>3.3243750000000002E-2</v>
      </c>
      <c r="P564" s="52">
        <f>('Scenario 2 Assumptions'!$B$279*('Scenario 2 Assumptions'!$B$371*0.5)/20)+P38</f>
        <v>3.3243750000000002E-2</v>
      </c>
      <c r="Q564" s="52">
        <f>('Scenario 2 Assumptions'!$B$279*('Scenario 2 Assumptions'!$B$371*0.5)/20)+Q38</f>
        <v>3.3243750000000002E-2</v>
      </c>
      <c r="R564" s="52">
        <f>('Scenario 2 Assumptions'!$B$279*('Scenario 2 Assumptions'!$B$371*0.5)/20)+R38</f>
        <v>3.3243750000000002E-2</v>
      </c>
      <c r="S564" s="52">
        <f>('Scenario 2 Assumptions'!$B$279*('Scenario 2 Assumptions'!$B$371*0.5)/20)+S38</f>
        <v>3.3243750000000002E-2</v>
      </c>
      <c r="T564" s="52">
        <f>('Scenario 2 Assumptions'!$B$279*('Scenario 2 Assumptions'!$B$371*0.5)/20)+T38</f>
        <v>3.3243750000000002E-2</v>
      </c>
      <c r="U564" s="52">
        <f>('Scenario 2 Assumptions'!$B$279*('Scenario 2 Assumptions'!$B$371*0.5)/20)+U38</f>
        <v>3.3243750000000002E-2</v>
      </c>
      <c r="V564" s="180">
        <f t="shared" ref="V564:V565" si="708">SUM(B564:U564)</f>
        <v>0.66487500000000022</v>
      </c>
      <c r="W564" s="53">
        <f t="shared" ref="W564:W565" si="709">V564/20</f>
        <v>3.3243750000000009E-2</v>
      </c>
    </row>
    <row r="565" spans="1:23" ht="13.5" customHeight="1">
      <c r="A565" s="49" t="s">
        <v>664</v>
      </c>
      <c r="B565" s="34">
        <f>SUM(B563:B564)</f>
        <v>4.6743750000000001E-2</v>
      </c>
      <c r="C565" s="34">
        <f t="shared" ref="C565" si="710">SUM(C563:C564)</f>
        <v>3.3243750000000002E-2</v>
      </c>
      <c r="D565" s="34">
        <f t="shared" ref="D565" si="711">SUM(D563:D564)</f>
        <v>3.3243750000000002E-2</v>
      </c>
      <c r="E565" s="34">
        <f t="shared" ref="E565" si="712">SUM(E563:E564)</f>
        <v>4.6743750000000001E-2</v>
      </c>
      <c r="F565" s="34">
        <f t="shared" ref="F565" si="713">SUM(F563:F564)</f>
        <v>3.3243750000000002E-2</v>
      </c>
      <c r="G565" s="34">
        <f t="shared" ref="G565" si="714">SUM(G563:G564)</f>
        <v>3.3243750000000002E-2</v>
      </c>
      <c r="H565" s="34">
        <f t="shared" ref="H565" si="715">SUM(H563:H564)</f>
        <v>4.6743750000000001E-2</v>
      </c>
      <c r="I565" s="34">
        <f t="shared" ref="I565" si="716">SUM(I563:I564)</f>
        <v>3.3243750000000002E-2</v>
      </c>
      <c r="J565" s="34">
        <f t="shared" ref="J565" si="717">SUM(J563:J564)</f>
        <v>3.3243750000000002E-2</v>
      </c>
      <c r="K565" s="34">
        <f t="shared" ref="K565" si="718">SUM(K563:K564)</f>
        <v>4.6743750000000001E-2</v>
      </c>
      <c r="L565" s="34">
        <f t="shared" ref="L565" si="719">SUM(L563:L564)</f>
        <v>3.3243750000000002E-2</v>
      </c>
      <c r="M565" s="34">
        <f t="shared" ref="M565" si="720">SUM(M563:M564)</f>
        <v>3.3243750000000002E-2</v>
      </c>
      <c r="N565" s="34">
        <f t="shared" ref="N565" si="721">SUM(N563:N564)</f>
        <v>4.6743750000000001E-2</v>
      </c>
      <c r="O565" s="34">
        <f t="shared" ref="O565" si="722">SUM(O563:O564)</f>
        <v>3.3243750000000002E-2</v>
      </c>
      <c r="P565" s="34">
        <f t="shared" ref="P565" si="723">SUM(P563:P564)</f>
        <v>3.3243750000000002E-2</v>
      </c>
      <c r="Q565" s="34">
        <f t="shared" ref="Q565" si="724">SUM(Q563:Q564)</f>
        <v>4.6743750000000001E-2</v>
      </c>
      <c r="R565" s="34">
        <f t="shared" ref="R565" si="725">SUM(R563:R564)</f>
        <v>3.3243750000000002E-2</v>
      </c>
      <c r="S565" s="34">
        <f t="shared" ref="S565" si="726">SUM(S563:S564)</f>
        <v>3.3243750000000002E-2</v>
      </c>
      <c r="T565" s="34">
        <f t="shared" ref="T565" si="727">SUM(T563:T564)</f>
        <v>4.6743750000000001E-2</v>
      </c>
      <c r="U565" s="34">
        <f t="shared" ref="U565" si="728">SUM(U563:U564)</f>
        <v>3.3243750000000002E-2</v>
      </c>
      <c r="V565" s="180">
        <f t="shared" si="708"/>
        <v>0.75937500000000002</v>
      </c>
      <c r="W565" s="53">
        <f t="shared" si="709"/>
        <v>3.7968750000000002E-2</v>
      </c>
    </row>
    <row r="566" spans="1:23" s="81" customFormat="1">
      <c r="A566" s="134" t="s">
        <v>123</v>
      </c>
      <c r="B566" s="52">
        <v>0.96618357487922713</v>
      </c>
      <c r="C566" s="52">
        <v>0.93351070036640305</v>
      </c>
      <c r="D566" s="52">
        <v>0.90194270566802237</v>
      </c>
      <c r="E566" s="52">
        <v>0.87144222769857238</v>
      </c>
      <c r="F566" s="52">
        <v>0.84197316685852419</v>
      </c>
      <c r="G566" s="52">
        <v>0.81350064430775282</v>
      </c>
      <c r="H566" s="52">
        <v>0.78599096068381913</v>
      </c>
      <c r="I566" s="52">
        <v>0.75941155621625056</v>
      </c>
      <c r="J566" s="52">
        <v>0.73373097218961414</v>
      </c>
      <c r="K566" s="52">
        <v>0.70891881370977217</v>
      </c>
      <c r="L566" s="52">
        <v>0.68494571372924851</v>
      </c>
      <c r="M566" s="52">
        <v>0.66178329828912896</v>
      </c>
      <c r="N566" s="52">
        <v>0.63940415293635666</v>
      </c>
      <c r="O566" s="52">
        <v>0.61778179027667302</v>
      </c>
      <c r="P566" s="52">
        <v>0.59689061862480497</v>
      </c>
      <c r="Q566" s="52">
        <v>0.57670591171478747</v>
      </c>
      <c r="R566" s="52">
        <v>0.55720377943457733</v>
      </c>
      <c r="S566" s="52">
        <v>0.53836113955031628</v>
      </c>
      <c r="T566" s="52">
        <v>0.52015569038677911</v>
      </c>
      <c r="U566" s="52">
        <v>0.50256588443167061</v>
      </c>
      <c r="V566" s="180"/>
      <c r="W566" s="133"/>
    </row>
    <row r="567" spans="1:23">
      <c r="A567" s="50" t="s">
        <v>1069</v>
      </c>
      <c r="B567" s="34">
        <f t="shared" ref="B567:U567" si="729">B566*B565</f>
        <v>4.5163043478260875E-2</v>
      </c>
      <c r="C567" s="34">
        <f t="shared" si="729"/>
        <v>3.1033396345305615E-2</v>
      </c>
      <c r="D567" s="34">
        <f t="shared" si="729"/>
        <v>2.9983957821551322E-2</v>
      </c>
      <c r="E567" s="34">
        <f t="shared" si="729"/>
        <v>4.0734477630985144E-2</v>
      </c>
      <c r="F567" s="34">
        <f t="shared" si="729"/>
        <v>2.7990345465753064E-2</v>
      </c>
      <c r="G567" s="34">
        <f t="shared" si="729"/>
        <v>2.7043812044205858E-2</v>
      </c>
      <c r="H567" s="34">
        <f t="shared" si="729"/>
        <v>3.6740164968464273E-2</v>
      </c>
      <c r="I567" s="34">
        <f t="shared" si="729"/>
        <v>2.524568792196398E-2</v>
      </c>
      <c r="J567" s="34">
        <f t="shared" si="729"/>
        <v>2.4391969006728485E-2</v>
      </c>
      <c r="K567" s="34">
        <f t="shared" si="729"/>
        <v>3.3137523798346162E-2</v>
      </c>
      <c r="L567" s="34">
        <f t="shared" si="729"/>
        <v>2.2770164070786705E-2</v>
      </c>
      <c r="M567" s="34">
        <f t="shared" si="729"/>
        <v>2.2000158522499234E-2</v>
      </c>
      <c r="N567" s="34">
        <f t="shared" si="729"/>
        <v>2.9888147873818823E-2</v>
      </c>
      <c r="O567" s="34">
        <f t="shared" si="729"/>
        <v>2.0537383390510151E-2</v>
      </c>
      <c r="P567" s="34">
        <f t="shared" si="729"/>
        <v>1.984288250290836E-2</v>
      </c>
      <c r="Q567" s="34">
        <f t="shared" si="729"/>
        <v>2.6957396960718097E-2</v>
      </c>
      <c r="R567" s="34">
        <f t="shared" si="729"/>
        <v>1.852354314257823E-2</v>
      </c>
      <c r="S567" s="34">
        <f t="shared" si="729"/>
        <v>1.7897143132925827E-2</v>
      </c>
      <c r="T567" s="34">
        <f t="shared" si="729"/>
        <v>2.4314027552517006E-2</v>
      </c>
      <c r="U567" s="34">
        <f t="shared" si="729"/>
        <v>1.670717462057535E-2</v>
      </c>
      <c r="V567" s="182">
        <f>SUM(B567:U567)</f>
        <v>0.54090240025140257</v>
      </c>
      <c r="W567" s="35"/>
    </row>
    <row r="568" spans="1:23">
      <c r="A568" s="48"/>
      <c r="B568" s="52"/>
      <c r="C568" s="52"/>
      <c r="D568" s="52"/>
      <c r="E568" s="52"/>
      <c r="F568" s="52"/>
      <c r="G568" s="52"/>
      <c r="H568" s="52"/>
      <c r="I568" s="52"/>
      <c r="J568" s="52"/>
      <c r="K568" s="52"/>
      <c r="L568" s="52"/>
      <c r="M568" s="52"/>
      <c r="N568" s="52"/>
      <c r="O568" s="52"/>
      <c r="P568" s="52"/>
      <c r="Q568" s="52"/>
      <c r="R568" s="52"/>
      <c r="S568" s="52"/>
      <c r="T568" s="52"/>
      <c r="U568" s="52"/>
      <c r="V568" s="180"/>
      <c r="W568" s="53"/>
    </row>
    <row r="569" spans="1:23">
      <c r="A569" s="135" t="s">
        <v>1098</v>
      </c>
      <c r="B569" s="52"/>
      <c r="C569" s="52"/>
      <c r="D569" s="52"/>
      <c r="E569" s="52"/>
      <c r="F569" s="52"/>
      <c r="G569" s="52"/>
      <c r="H569" s="52"/>
      <c r="I569" s="52"/>
      <c r="J569" s="52"/>
      <c r="K569" s="52"/>
      <c r="L569" s="52"/>
      <c r="M569" s="52"/>
      <c r="N569" s="52"/>
      <c r="O569" s="52"/>
      <c r="P569" s="52"/>
      <c r="Q569" s="52"/>
      <c r="R569" s="52"/>
      <c r="S569" s="52"/>
      <c r="T569" s="52"/>
      <c r="U569" s="52"/>
      <c r="V569" s="180"/>
      <c r="W569" s="53"/>
    </row>
    <row r="570" spans="1:23">
      <c r="A570" s="200" t="s">
        <v>679</v>
      </c>
      <c r="B570" s="52">
        <f t="shared" ref="B570:U570" si="730">B14</f>
        <v>1.35E-2</v>
      </c>
      <c r="C570" s="52">
        <f t="shared" si="730"/>
        <v>0</v>
      </c>
      <c r="D570" s="52">
        <f t="shared" si="730"/>
        <v>0</v>
      </c>
      <c r="E570" s="52">
        <f t="shared" si="730"/>
        <v>1.35E-2</v>
      </c>
      <c r="F570" s="52">
        <f t="shared" si="730"/>
        <v>0</v>
      </c>
      <c r="G570" s="52">
        <f t="shared" si="730"/>
        <v>0</v>
      </c>
      <c r="H570" s="52">
        <f t="shared" si="730"/>
        <v>1.35E-2</v>
      </c>
      <c r="I570" s="52">
        <f t="shared" si="730"/>
        <v>0</v>
      </c>
      <c r="J570" s="52">
        <f t="shared" si="730"/>
        <v>0</v>
      </c>
      <c r="K570" s="52">
        <f t="shared" si="730"/>
        <v>1.35E-2</v>
      </c>
      <c r="L570" s="52">
        <f t="shared" si="730"/>
        <v>0</v>
      </c>
      <c r="M570" s="52">
        <f t="shared" si="730"/>
        <v>0</v>
      </c>
      <c r="N570" s="52">
        <f t="shared" si="730"/>
        <v>1.35E-2</v>
      </c>
      <c r="O570" s="52">
        <f t="shared" si="730"/>
        <v>0</v>
      </c>
      <c r="P570" s="52">
        <f t="shared" si="730"/>
        <v>0</v>
      </c>
      <c r="Q570" s="52">
        <f t="shared" si="730"/>
        <v>1.35E-2</v>
      </c>
      <c r="R570" s="52">
        <f t="shared" si="730"/>
        <v>0</v>
      </c>
      <c r="S570" s="52">
        <f t="shared" si="730"/>
        <v>0</v>
      </c>
      <c r="T570" s="52">
        <f t="shared" si="730"/>
        <v>1.35E-2</v>
      </c>
      <c r="U570" s="52">
        <f t="shared" si="730"/>
        <v>0</v>
      </c>
      <c r="V570" s="180">
        <f>SUM(B570:U570)</f>
        <v>9.4500000000000001E-2</v>
      </c>
      <c r="W570" s="53">
        <f>V570/20</f>
        <v>4.725E-3</v>
      </c>
    </row>
    <row r="571" spans="1:23" s="3" customFormat="1">
      <c r="A571" s="200" t="s">
        <v>680</v>
      </c>
      <c r="B571" s="52">
        <f>('Scenario 2 Assumptions'!$B$279*('Scenario 2 Assumptions'!$B$372*0.5)/20)+B41</f>
        <v>3.3412499999999998E-2</v>
      </c>
      <c r="C571" s="52">
        <f>('Scenario 2 Assumptions'!$B$279*('Scenario 2 Assumptions'!$B$372*0.5)/20)+C41</f>
        <v>3.3412499999999998E-2</v>
      </c>
      <c r="D571" s="52">
        <f>('Scenario 2 Assumptions'!$B$279*('Scenario 2 Assumptions'!$B$372*0.5)/20)+D41</f>
        <v>3.3412499999999998E-2</v>
      </c>
      <c r="E571" s="52">
        <f>('Scenario 2 Assumptions'!$B$279*('Scenario 2 Assumptions'!$B$372*0.5)/20)+E41</f>
        <v>3.3412499999999998E-2</v>
      </c>
      <c r="F571" s="52">
        <f>('Scenario 2 Assumptions'!$B$279*('Scenario 2 Assumptions'!$B$372*0.5)/20)+F41</f>
        <v>3.3412499999999998E-2</v>
      </c>
      <c r="G571" s="52">
        <f>('Scenario 2 Assumptions'!$B$279*('Scenario 2 Assumptions'!$B$372*0.5)/20)+G41</f>
        <v>3.3412499999999998E-2</v>
      </c>
      <c r="H571" s="52">
        <f>('Scenario 2 Assumptions'!$B$279*('Scenario 2 Assumptions'!$B$372*0.5)/20)+H41</f>
        <v>3.3412499999999998E-2</v>
      </c>
      <c r="I571" s="52">
        <f>('Scenario 2 Assumptions'!$B$279*('Scenario 2 Assumptions'!$B$372*0.5)/20)+I41</f>
        <v>3.3412499999999998E-2</v>
      </c>
      <c r="J571" s="52">
        <f>('Scenario 2 Assumptions'!$B$279*('Scenario 2 Assumptions'!$B$372*0.5)/20)+J41</f>
        <v>3.3412499999999998E-2</v>
      </c>
      <c r="K571" s="52">
        <f>('Scenario 2 Assumptions'!$B$279*('Scenario 2 Assumptions'!$B$372*0.5)/20)+K41</f>
        <v>3.3412499999999998E-2</v>
      </c>
      <c r="L571" s="52">
        <f>('Scenario 2 Assumptions'!$B$279*('Scenario 2 Assumptions'!$B$372*0.5)/20)+L41</f>
        <v>3.3412499999999998E-2</v>
      </c>
      <c r="M571" s="52">
        <f>('Scenario 2 Assumptions'!$B$279*('Scenario 2 Assumptions'!$B$372*0.5)/20)+M41</f>
        <v>3.3412499999999998E-2</v>
      </c>
      <c r="N571" s="52">
        <f>('Scenario 2 Assumptions'!$B$279*('Scenario 2 Assumptions'!$B$372*0.5)/20)+N41</f>
        <v>3.3412499999999998E-2</v>
      </c>
      <c r="O571" s="52">
        <f>('Scenario 2 Assumptions'!$B$279*('Scenario 2 Assumptions'!$B$372*0.5)/20)+O41</f>
        <v>3.3412499999999998E-2</v>
      </c>
      <c r="P571" s="52">
        <f>('Scenario 2 Assumptions'!$B$279*('Scenario 2 Assumptions'!$B$372*0.5)/20)+P41</f>
        <v>3.3412499999999998E-2</v>
      </c>
      <c r="Q571" s="52">
        <f>('Scenario 2 Assumptions'!$B$279*('Scenario 2 Assumptions'!$B$372*0.5)/20)+Q41</f>
        <v>3.3412499999999998E-2</v>
      </c>
      <c r="R571" s="52">
        <f>('Scenario 2 Assumptions'!$B$279*('Scenario 2 Assumptions'!$B$372*0.5)/20)+R41</f>
        <v>3.3412499999999998E-2</v>
      </c>
      <c r="S571" s="52">
        <f>('Scenario 2 Assumptions'!$B$279*('Scenario 2 Assumptions'!$B$372*0.5)/20)+S41</f>
        <v>3.3412499999999998E-2</v>
      </c>
      <c r="T571" s="52">
        <f>('Scenario 2 Assumptions'!$B$279*('Scenario 2 Assumptions'!$B$372*0.5)/20)+T41</f>
        <v>3.3412499999999998E-2</v>
      </c>
      <c r="U571" s="52">
        <f>('Scenario 2 Assumptions'!$B$279*('Scenario 2 Assumptions'!$B$372*0.5)/20)+U41</f>
        <v>3.3412499999999998E-2</v>
      </c>
      <c r="V571" s="180">
        <f t="shared" ref="V571:V572" si="731">SUM(B571:U571)</f>
        <v>0.6682499999999999</v>
      </c>
      <c r="W571" s="53">
        <f t="shared" ref="W571:W572" si="732">V571/20</f>
        <v>3.3412499999999998E-2</v>
      </c>
    </row>
    <row r="572" spans="1:23" ht="13.5" customHeight="1">
      <c r="A572" s="49" t="s">
        <v>664</v>
      </c>
      <c r="B572" s="34">
        <f>SUM(B570:B571)</f>
        <v>4.6912499999999996E-2</v>
      </c>
      <c r="C572" s="34">
        <f t="shared" ref="C572" si="733">SUM(C570:C571)</f>
        <v>3.3412499999999998E-2</v>
      </c>
      <c r="D572" s="34">
        <f t="shared" ref="D572" si="734">SUM(D570:D571)</f>
        <v>3.3412499999999998E-2</v>
      </c>
      <c r="E572" s="34">
        <f t="shared" ref="E572" si="735">SUM(E570:E571)</f>
        <v>4.6912499999999996E-2</v>
      </c>
      <c r="F572" s="34">
        <f t="shared" ref="F572" si="736">SUM(F570:F571)</f>
        <v>3.3412499999999998E-2</v>
      </c>
      <c r="G572" s="34">
        <f t="shared" ref="G572" si="737">SUM(G570:G571)</f>
        <v>3.3412499999999998E-2</v>
      </c>
      <c r="H572" s="34">
        <f t="shared" ref="H572" si="738">SUM(H570:H571)</f>
        <v>4.6912499999999996E-2</v>
      </c>
      <c r="I572" s="34">
        <f t="shared" ref="I572" si="739">SUM(I570:I571)</f>
        <v>3.3412499999999998E-2</v>
      </c>
      <c r="J572" s="34">
        <f t="shared" ref="J572" si="740">SUM(J570:J571)</f>
        <v>3.3412499999999998E-2</v>
      </c>
      <c r="K572" s="34">
        <f t="shared" ref="K572" si="741">SUM(K570:K571)</f>
        <v>4.6912499999999996E-2</v>
      </c>
      <c r="L572" s="34">
        <f t="shared" ref="L572" si="742">SUM(L570:L571)</f>
        <v>3.3412499999999998E-2</v>
      </c>
      <c r="M572" s="34">
        <f t="shared" ref="M572" si="743">SUM(M570:M571)</f>
        <v>3.3412499999999998E-2</v>
      </c>
      <c r="N572" s="34">
        <f t="shared" ref="N572" si="744">SUM(N570:N571)</f>
        <v>4.6912499999999996E-2</v>
      </c>
      <c r="O572" s="34">
        <f t="shared" ref="O572" si="745">SUM(O570:O571)</f>
        <v>3.3412499999999998E-2</v>
      </c>
      <c r="P572" s="34">
        <f t="shared" ref="P572" si="746">SUM(P570:P571)</f>
        <v>3.3412499999999998E-2</v>
      </c>
      <c r="Q572" s="34">
        <f t="shared" ref="Q572" si="747">SUM(Q570:Q571)</f>
        <v>4.6912499999999996E-2</v>
      </c>
      <c r="R572" s="34">
        <f t="shared" ref="R572" si="748">SUM(R570:R571)</f>
        <v>3.3412499999999998E-2</v>
      </c>
      <c r="S572" s="34">
        <f t="shared" ref="S572" si="749">SUM(S570:S571)</f>
        <v>3.3412499999999998E-2</v>
      </c>
      <c r="T572" s="34">
        <f t="shared" ref="T572" si="750">SUM(T570:T571)</f>
        <v>4.6912499999999996E-2</v>
      </c>
      <c r="U572" s="34">
        <f t="shared" ref="U572" si="751">SUM(U570:U571)</f>
        <v>3.3412499999999998E-2</v>
      </c>
      <c r="V572" s="180">
        <f t="shared" si="731"/>
        <v>0.76274999999999993</v>
      </c>
      <c r="W572" s="53">
        <f t="shared" si="732"/>
        <v>3.8137499999999998E-2</v>
      </c>
    </row>
    <row r="573" spans="1:23" s="81" customFormat="1">
      <c r="A573" s="134" t="s">
        <v>123</v>
      </c>
      <c r="B573" s="52">
        <v>0.96618357487922713</v>
      </c>
      <c r="C573" s="52">
        <v>0.93351070036640305</v>
      </c>
      <c r="D573" s="52">
        <v>0.90194270566802237</v>
      </c>
      <c r="E573" s="52">
        <v>0.87144222769857238</v>
      </c>
      <c r="F573" s="52">
        <v>0.84197316685852419</v>
      </c>
      <c r="G573" s="52">
        <v>0.81350064430775282</v>
      </c>
      <c r="H573" s="52">
        <v>0.78599096068381913</v>
      </c>
      <c r="I573" s="52">
        <v>0.75941155621625056</v>
      </c>
      <c r="J573" s="52">
        <v>0.73373097218961414</v>
      </c>
      <c r="K573" s="52">
        <v>0.70891881370977217</v>
      </c>
      <c r="L573" s="52">
        <v>0.68494571372924851</v>
      </c>
      <c r="M573" s="52">
        <v>0.66178329828912896</v>
      </c>
      <c r="N573" s="52">
        <v>0.63940415293635666</v>
      </c>
      <c r="O573" s="52">
        <v>0.61778179027667302</v>
      </c>
      <c r="P573" s="52">
        <v>0.59689061862480497</v>
      </c>
      <c r="Q573" s="52">
        <v>0.57670591171478747</v>
      </c>
      <c r="R573" s="52">
        <v>0.55720377943457733</v>
      </c>
      <c r="S573" s="52">
        <v>0.53836113955031628</v>
      </c>
      <c r="T573" s="52">
        <v>0.52015569038677911</v>
      </c>
      <c r="U573" s="52">
        <v>0.50256588443167061</v>
      </c>
      <c r="V573" s="180"/>
      <c r="W573" s="133"/>
    </row>
    <row r="574" spans="1:23">
      <c r="A574" s="50" t="s">
        <v>1069</v>
      </c>
      <c r="B574" s="34">
        <f t="shared" ref="B574:U574" si="752">B573*B572</f>
        <v>4.5326086956521738E-2</v>
      </c>
      <c r="C574" s="34">
        <f t="shared" si="752"/>
        <v>3.1190926275992438E-2</v>
      </c>
      <c r="D574" s="34">
        <f t="shared" si="752"/>
        <v>3.0136160653132796E-2</v>
      </c>
      <c r="E574" s="34">
        <f t="shared" si="752"/>
        <v>4.0881533506909276E-2</v>
      </c>
      <c r="F574" s="34">
        <f t="shared" si="752"/>
        <v>2.8132428437660437E-2</v>
      </c>
      <c r="G574" s="34">
        <f t="shared" si="752"/>
        <v>2.7181090277932789E-2</v>
      </c>
      <c r="H574" s="34">
        <f t="shared" si="752"/>
        <v>3.687280094307966E-2</v>
      </c>
      <c r="I574" s="34">
        <f t="shared" si="752"/>
        <v>2.537383862207547E-2</v>
      </c>
      <c r="J574" s="34">
        <f t="shared" si="752"/>
        <v>2.4515786108285482E-2</v>
      </c>
      <c r="K574" s="34">
        <f t="shared" si="752"/>
        <v>3.3257153848159686E-2</v>
      </c>
      <c r="L574" s="34">
        <f t="shared" si="752"/>
        <v>2.2885748659978514E-2</v>
      </c>
      <c r="M574" s="34">
        <f t="shared" si="752"/>
        <v>2.211183445408552E-2</v>
      </c>
      <c r="N574" s="34">
        <f t="shared" si="752"/>
        <v>2.999604732462683E-2</v>
      </c>
      <c r="O574" s="34">
        <f t="shared" si="752"/>
        <v>2.0641634067619336E-2</v>
      </c>
      <c r="P574" s="34">
        <f t="shared" si="752"/>
        <v>1.9943607794801296E-2</v>
      </c>
      <c r="Q574" s="34">
        <f t="shared" si="752"/>
        <v>2.7054716083319965E-2</v>
      </c>
      <c r="R574" s="34">
        <f t="shared" si="752"/>
        <v>1.8617571280357813E-2</v>
      </c>
      <c r="S574" s="34">
        <f t="shared" si="752"/>
        <v>1.7987991575224942E-2</v>
      </c>
      <c r="T574" s="34">
        <f t="shared" si="752"/>
        <v>2.4401803825269772E-2</v>
      </c>
      <c r="U574" s="34">
        <f t="shared" si="752"/>
        <v>1.6791982613573193E-2</v>
      </c>
      <c r="V574" s="182">
        <f>SUM(B574:U574)</f>
        <v>0.54330074330860689</v>
      </c>
      <c r="W574" s="35"/>
    </row>
    <row r="575" spans="1:23">
      <c r="A575" s="48"/>
      <c r="B575" s="52"/>
      <c r="C575" s="52"/>
      <c r="D575" s="52"/>
      <c r="E575" s="52"/>
      <c r="F575" s="52"/>
      <c r="G575" s="52"/>
      <c r="H575" s="52"/>
      <c r="I575" s="52"/>
      <c r="J575" s="52"/>
      <c r="K575" s="52"/>
      <c r="L575" s="52"/>
      <c r="M575" s="52"/>
      <c r="N575" s="52"/>
      <c r="O575" s="52"/>
      <c r="P575" s="52"/>
      <c r="Q575" s="52"/>
      <c r="R575" s="52"/>
      <c r="S575" s="52"/>
      <c r="T575" s="52"/>
      <c r="U575" s="52"/>
      <c r="V575" s="180"/>
      <c r="W575" s="53"/>
    </row>
    <row r="576" spans="1:23">
      <c r="A576" s="135" t="s">
        <v>1194</v>
      </c>
      <c r="B576" s="52"/>
      <c r="C576" s="52"/>
      <c r="D576" s="52"/>
      <c r="E576" s="52"/>
      <c r="F576" s="52"/>
      <c r="G576" s="52"/>
      <c r="H576" s="52"/>
      <c r="I576" s="52"/>
      <c r="J576" s="52"/>
      <c r="K576" s="52"/>
      <c r="L576" s="52"/>
      <c r="M576" s="52"/>
      <c r="N576" s="52"/>
      <c r="O576" s="52"/>
      <c r="P576" s="52"/>
      <c r="Q576" s="52"/>
      <c r="R576" s="52"/>
      <c r="S576" s="52"/>
      <c r="T576" s="52"/>
      <c r="U576" s="52"/>
      <c r="V576" s="180"/>
      <c r="W576" s="53"/>
    </row>
    <row r="577" spans="1:23">
      <c r="A577" s="200" t="s">
        <v>679</v>
      </c>
      <c r="B577" s="52">
        <v>0</v>
      </c>
      <c r="C577" s="52">
        <v>0</v>
      </c>
      <c r="D577" s="52">
        <v>0</v>
      </c>
      <c r="E577" s="52">
        <v>0</v>
      </c>
      <c r="F577" s="52">
        <v>0</v>
      </c>
      <c r="G577" s="52">
        <v>0</v>
      </c>
      <c r="H577" s="52">
        <v>0</v>
      </c>
      <c r="I577" s="52">
        <v>0</v>
      </c>
      <c r="J577" s="52">
        <v>0</v>
      </c>
      <c r="K577" s="52">
        <v>0</v>
      </c>
      <c r="L577" s="52">
        <v>0</v>
      </c>
      <c r="M577" s="52">
        <v>0</v>
      </c>
      <c r="N577" s="52">
        <v>0</v>
      </c>
      <c r="O577" s="52">
        <v>0</v>
      </c>
      <c r="P577" s="52">
        <v>0</v>
      </c>
      <c r="Q577" s="52">
        <v>0</v>
      </c>
      <c r="R577" s="52">
        <v>0</v>
      </c>
      <c r="S577" s="52">
        <v>0</v>
      </c>
      <c r="T577" s="52">
        <v>0</v>
      </c>
      <c r="U577" s="52">
        <v>0</v>
      </c>
      <c r="V577" s="180">
        <f>SUM(B577:U577)</f>
        <v>0</v>
      </c>
      <c r="W577" s="53">
        <f>V577/20</f>
        <v>0</v>
      </c>
    </row>
    <row r="578" spans="1:23" s="3" customFormat="1">
      <c r="A578" s="200" t="s">
        <v>680</v>
      </c>
      <c r="B578" s="52">
        <f>('Scenario 2 Assumptions'!$B$279*('Scenario 2 Assumptions'!$B$373*0.5)/20)+B33</f>
        <v>3.3750000000000002E-4</v>
      </c>
      <c r="C578" s="52">
        <f>('Scenario 2 Assumptions'!$B$279*('Scenario 2 Assumptions'!$B$373*0.5)/20)+C33</f>
        <v>3.3750000000000002E-4</v>
      </c>
      <c r="D578" s="52">
        <f>('Scenario 2 Assumptions'!$B$279*('Scenario 2 Assumptions'!$B$373*0.5)/20)+D33</f>
        <v>3.3750000000000002E-4</v>
      </c>
      <c r="E578" s="52">
        <f>('Scenario 2 Assumptions'!$B$279*('Scenario 2 Assumptions'!$B$373*0.5)/20)+E33</f>
        <v>3.3750000000000002E-4</v>
      </c>
      <c r="F578" s="52">
        <f>('Scenario 2 Assumptions'!$B$279*('Scenario 2 Assumptions'!$B$373*0.5)/20)+F33</f>
        <v>3.3750000000000002E-4</v>
      </c>
      <c r="G578" s="52">
        <f>('Scenario 2 Assumptions'!$B$279*('Scenario 2 Assumptions'!$B$373*0.5)/20)+G33</f>
        <v>3.3750000000000002E-4</v>
      </c>
      <c r="H578" s="52">
        <f>('Scenario 2 Assumptions'!$B$279*('Scenario 2 Assumptions'!$B$373*0.5)/20)+H33</f>
        <v>3.3750000000000002E-4</v>
      </c>
      <c r="I578" s="52">
        <f>('Scenario 2 Assumptions'!$B$279*('Scenario 2 Assumptions'!$B$373*0.5)/20)+I33</f>
        <v>3.3750000000000002E-4</v>
      </c>
      <c r="J578" s="52">
        <f>('Scenario 2 Assumptions'!$B$279*('Scenario 2 Assumptions'!$B$373*0.5)/20)+J33</f>
        <v>3.3750000000000002E-4</v>
      </c>
      <c r="K578" s="52">
        <f>('Scenario 2 Assumptions'!$B$279*('Scenario 2 Assumptions'!$B$373*0.5)/20)+K33</f>
        <v>3.3750000000000002E-4</v>
      </c>
      <c r="L578" s="52">
        <f>('Scenario 2 Assumptions'!$B$279*('Scenario 2 Assumptions'!$B$373*0.5)/20)+L33</f>
        <v>3.3750000000000002E-4</v>
      </c>
      <c r="M578" s="52">
        <f>('Scenario 2 Assumptions'!$B$279*('Scenario 2 Assumptions'!$B$373*0.5)/20)+M33</f>
        <v>3.3750000000000002E-4</v>
      </c>
      <c r="N578" s="52">
        <f>('Scenario 2 Assumptions'!$B$279*('Scenario 2 Assumptions'!$B$373*0.5)/20)+N33</f>
        <v>3.3750000000000002E-4</v>
      </c>
      <c r="O578" s="52">
        <f>('Scenario 2 Assumptions'!$B$279*('Scenario 2 Assumptions'!$B$373*0.5)/20)+O33</f>
        <v>3.3750000000000002E-4</v>
      </c>
      <c r="P578" s="52">
        <f>('Scenario 2 Assumptions'!$B$279*('Scenario 2 Assumptions'!$B$373*0.5)/20)+P33</f>
        <v>3.3750000000000002E-4</v>
      </c>
      <c r="Q578" s="52">
        <f>('Scenario 2 Assumptions'!$B$279*('Scenario 2 Assumptions'!$B$373*0.5)/20)+Q33</f>
        <v>3.3750000000000002E-4</v>
      </c>
      <c r="R578" s="52">
        <f>('Scenario 2 Assumptions'!$B$279*('Scenario 2 Assumptions'!$B$373*0.5)/20)+R33</f>
        <v>3.3750000000000002E-4</v>
      </c>
      <c r="S578" s="52">
        <f>('Scenario 2 Assumptions'!$B$279*('Scenario 2 Assumptions'!$B$373*0.5)/20)+S33</f>
        <v>3.3750000000000002E-4</v>
      </c>
      <c r="T578" s="52">
        <f>('Scenario 2 Assumptions'!$B$279*('Scenario 2 Assumptions'!$B$373*0.5)/20)+T33</f>
        <v>3.3750000000000002E-4</v>
      </c>
      <c r="U578" s="52">
        <f>('Scenario 2 Assumptions'!$B$279*('Scenario 2 Assumptions'!$B$373*0.5)/20)+U33</f>
        <v>3.3750000000000002E-4</v>
      </c>
      <c r="V578" s="180">
        <f t="shared" ref="V578:V579" si="753">SUM(B578:U578)</f>
        <v>6.7500000000000017E-3</v>
      </c>
      <c r="W578" s="53">
        <f t="shared" ref="W578:W579" si="754">V578/20</f>
        <v>3.3750000000000007E-4</v>
      </c>
    </row>
    <row r="579" spans="1:23" ht="13.5" customHeight="1">
      <c r="A579" s="49" t="s">
        <v>664</v>
      </c>
      <c r="B579" s="34">
        <f>SUM(B577:B578)</f>
        <v>3.3750000000000002E-4</v>
      </c>
      <c r="C579" s="34">
        <f t="shared" ref="C579" si="755">SUM(C577:C578)</f>
        <v>3.3750000000000002E-4</v>
      </c>
      <c r="D579" s="34">
        <f t="shared" ref="D579" si="756">SUM(D577:D578)</f>
        <v>3.3750000000000002E-4</v>
      </c>
      <c r="E579" s="34">
        <f t="shared" ref="E579" si="757">SUM(E577:E578)</f>
        <v>3.3750000000000002E-4</v>
      </c>
      <c r="F579" s="34">
        <f t="shared" ref="F579" si="758">SUM(F577:F578)</f>
        <v>3.3750000000000002E-4</v>
      </c>
      <c r="G579" s="34">
        <f t="shared" ref="G579" si="759">SUM(G577:G578)</f>
        <v>3.3750000000000002E-4</v>
      </c>
      <c r="H579" s="34">
        <f t="shared" ref="H579" si="760">SUM(H577:H578)</f>
        <v>3.3750000000000002E-4</v>
      </c>
      <c r="I579" s="34">
        <f t="shared" ref="I579" si="761">SUM(I577:I578)</f>
        <v>3.3750000000000002E-4</v>
      </c>
      <c r="J579" s="34">
        <f t="shared" ref="J579" si="762">SUM(J577:J578)</f>
        <v>3.3750000000000002E-4</v>
      </c>
      <c r="K579" s="34">
        <f t="shared" ref="K579" si="763">SUM(K577:K578)</f>
        <v>3.3750000000000002E-4</v>
      </c>
      <c r="L579" s="34">
        <f t="shared" ref="L579" si="764">SUM(L577:L578)</f>
        <v>3.3750000000000002E-4</v>
      </c>
      <c r="M579" s="34">
        <f t="shared" ref="M579" si="765">SUM(M577:M578)</f>
        <v>3.3750000000000002E-4</v>
      </c>
      <c r="N579" s="34">
        <f t="shared" ref="N579" si="766">SUM(N577:N578)</f>
        <v>3.3750000000000002E-4</v>
      </c>
      <c r="O579" s="34">
        <f t="shared" ref="O579" si="767">SUM(O577:O578)</f>
        <v>3.3750000000000002E-4</v>
      </c>
      <c r="P579" s="34">
        <f t="shared" ref="P579" si="768">SUM(P577:P578)</f>
        <v>3.3750000000000002E-4</v>
      </c>
      <c r="Q579" s="34">
        <f t="shared" ref="Q579" si="769">SUM(Q577:Q578)</f>
        <v>3.3750000000000002E-4</v>
      </c>
      <c r="R579" s="34">
        <f t="shared" ref="R579" si="770">SUM(R577:R578)</f>
        <v>3.3750000000000002E-4</v>
      </c>
      <c r="S579" s="34">
        <f t="shared" ref="S579" si="771">SUM(S577:S578)</f>
        <v>3.3750000000000002E-4</v>
      </c>
      <c r="T579" s="34">
        <f t="shared" ref="T579" si="772">SUM(T577:T578)</f>
        <v>3.3750000000000002E-4</v>
      </c>
      <c r="U579" s="34">
        <f t="shared" ref="U579" si="773">SUM(U577:U578)</f>
        <v>3.3750000000000002E-4</v>
      </c>
      <c r="V579" s="180">
        <f t="shared" si="753"/>
        <v>6.7500000000000017E-3</v>
      </c>
      <c r="W579" s="53">
        <f t="shared" si="754"/>
        <v>3.3750000000000007E-4</v>
      </c>
    </row>
    <row r="580" spans="1:23" s="81" customFormat="1">
      <c r="A580" s="134" t="s">
        <v>123</v>
      </c>
      <c r="B580" s="52">
        <v>0.96618357487922713</v>
      </c>
      <c r="C580" s="52">
        <v>0.93351070036640305</v>
      </c>
      <c r="D580" s="52">
        <v>0.90194270566802237</v>
      </c>
      <c r="E580" s="52">
        <v>0.87144222769857238</v>
      </c>
      <c r="F580" s="52">
        <v>0.84197316685852419</v>
      </c>
      <c r="G580" s="52">
        <v>0.81350064430775282</v>
      </c>
      <c r="H580" s="52">
        <v>0.78599096068381913</v>
      </c>
      <c r="I580" s="52">
        <v>0.75941155621625056</v>
      </c>
      <c r="J580" s="52">
        <v>0.73373097218961414</v>
      </c>
      <c r="K580" s="52">
        <v>0.70891881370977217</v>
      </c>
      <c r="L580" s="52">
        <v>0.68494571372924851</v>
      </c>
      <c r="M580" s="52">
        <v>0.66178329828912896</v>
      </c>
      <c r="N580" s="52">
        <v>0.63940415293635666</v>
      </c>
      <c r="O580" s="52">
        <v>0.61778179027667302</v>
      </c>
      <c r="P580" s="52">
        <v>0.59689061862480497</v>
      </c>
      <c r="Q580" s="52">
        <v>0.57670591171478747</v>
      </c>
      <c r="R580" s="52">
        <v>0.55720377943457733</v>
      </c>
      <c r="S580" s="52">
        <v>0.53836113955031628</v>
      </c>
      <c r="T580" s="52">
        <v>0.52015569038677911</v>
      </c>
      <c r="U580" s="52">
        <v>0.50256588443167061</v>
      </c>
      <c r="V580" s="180"/>
      <c r="W580" s="133"/>
    </row>
    <row r="581" spans="1:23">
      <c r="A581" s="50" t="s">
        <v>1069</v>
      </c>
      <c r="B581" s="34">
        <f t="shared" ref="B581:U581" si="774">B580*B579</f>
        <v>3.2608695652173916E-4</v>
      </c>
      <c r="C581" s="34">
        <f t="shared" si="774"/>
        <v>3.1505986137366106E-4</v>
      </c>
      <c r="D581" s="34">
        <f t="shared" si="774"/>
        <v>3.0440566316295754E-4</v>
      </c>
      <c r="E581" s="34">
        <f t="shared" si="774"/>
        <v>2.9411175184826822E-4</v>
      </c>
      <c r="F581" s="34">
        <f t="shared" si="774"/>
        <v>2.8416594381475195E-4</v>
      </c>
      <c r="G581" s="34">
        <f t="shared" si="774"/>
        <v>2.745564674538666E-4</v>
      </c>
      <c r="H581" s="34">
        <f t="shared" si="774"/>
        <v>2.6527194923078894E-4</v>
      </c>
      <c r="I581" s="34">
        <f t="shared" si="774"/>
        <v>2.5630140022298459E-4</v>
      </c>
      <c r="J581" s="34">
        <f t="shared" si="774"/>
        <v>2.476342031139948E-4</v>
      </c>
      <c r="K581" s="34">
        <f t="shared" si="774"/>
        <v>2.3926009962704813E-4</v>
      </c>
      <c r="L581" s="34">
        <f t="shared" si="774"/>
        <v>2.3116917838362139E-4</v>
      </c>
      <c r="M581" s="34">
        <f t="shared" si="774"/>
        <v>2.2335186317258104E-4</v>
      </c>
      <c r="N581" s="34">
        <f t="shared" si="774"/>
        <v>2.1579890161602038E-4</v>
      </c>
      <c r="O581" s="34">
        <f t="shared" si="774"/>
        <v>2.0850135421837717E-4</v>
      </c>
      <c r="P581" s="34">
        <f t="shared" si="774"/>
        <v>2.0145058378587169E-4</v>
      </c>
      <c r="Q581" s="34">
        <f t="shared" si="774"/>
        <v>1.9463824520374079E-4</v>
      </c>
      <c r="R581" s="34">
        <f t="shared" si="774"/>
        <v>1.8805627555916986E-4</v>
      </c>
      <c r="S581" s="34">
        <f t="shared" si="774"/>
        <v>1.8169688459823176E-4</v>
      </c>
      <c r="T581" s="34">
        <f t="shared" si="774"/>
        <v>1.7555254550553795E-4</v>
      </c>
      <c r="U581" s="34">
        <f t="shared" si="774"/>
        <v>1.6961598599568884E-4</v>
      </c>
      <c r="V581" s="182">
        <f>SUM(B581:U581)</f>
        <v>4.7966861144089021E-3</v>
      </c>
      <c r="W581" s="35"/>
    </row>
    <row r="582" spans="1:23">
      <c r="A582" s="48"/>
      <c r="B582" s="52"/>
      <c r="C582" s="52"/>
      <c r="D582" s="52"/>
      <c r="E582" s="52"/>
      <c r="F582" s="52"/>
      <c r="G582" s="52"/>
      <c r="H582" s="52"/>
      <c r="I582" s="52"/>
      <c r="J582" s="52"/>
      <c r="K582" s="52"/>
      <c r="L582" s="52"/>
      <c r="M582" s="52"/>
      <c r="N582" s="52"/>
      <c r="O582" s="52"/>
      <c r="P582" s="52"/>
      <c r="Q582" s="52"/>
      <c r="R582" s="52"/>
      <c r="S582" s="52"/>
      <c r="T582" s="52"/>
      <c r="U582" s="52"/>
      <c r="V582" s="180"/>
      <c r="W582" s="53"/>
    </row>
    <row r="583" spans="1:23">
      <c r="A583" s="135" t="s">
        <v>1193</v>
      </c>
      <c r="B583" s="52"/>
      <c r="C583" s="52"/>
      <c r="D583" s="52"/>
      <c r="E583" s="52"/>
      <c r="F583" s="52"/>
      <c r="G583" s="52"/>
      <c r="H583" s="52"/>
      <c r="I583" s="52"/>
      <c r="J583" s="52"/>
      <c r="K583" s="52"/>
      <c r="L583" s="52"/>
      <c r="M583" s="52"/>
      <c r="N583" s="52"/>
      <c r="O583" s="52"/>
      <c r="P583" s="52"/>
      <c r="Q583" s="52"/>
      <c r="R583" s="52"/>
      <c r="S583" s="52"/>
      <c r="T583" s="52"/>
      <c r="U583" s="52"/>
      <c r="V583" s="180"/>
      <c r="W583" s="53"/>
    </row>
    <row r="584" spans="1:23">
      <c r="A584" s="200" t="s">
        <v>679</v>
      </c>
      <c r="B584" s="52">
        <v>0</v>
      </c>
      <c r="C584" s="52">
        <v>0</v>
      </c>
      <c r="D584" s="52">
        <v>0</v>
      </c>
      <c r="E584" s="52">
        <v>0</v>
      </c>
      <c r="F584" s="52">
        <v>0</v>
      </c>
      <c r="G584" s="52">
        <v>0</v>
      </c>
      <c r="H584" s="52">
        <v>0</v>
      </c>
      <c r="I584" s="52">
        <v>0</v>
      </c>
      <c r="J584" s="52">
        <v>0</v>
      </c>
      <c r="K584" s="52">
        <v>0</v>
      </c>
      <c r="L584" s="52">
        <v>0</v>
      </c>
      <c r="M584" s="52">
        <v>0</v>
      </c>
      <c r="N584" s="52">
        <v>0</v>
      </c>
      <c r="O584" s="52">
        <v>0</v>
      </c>
      <c r="P584" s="52">
        <v>0</v>
      </c>
      <c r="Q584" s="52">
        <v>0</v>
      </c>
      <c r="R584" s="52">
        <v>0</v>
      </c>
      <c r="S584" s="52">
        <v>0</v>
      </c>
      <c r="T584" s="52">
        <v>0</v>
      </c>
      <c r="U584" s="52">
        <v>0</v>
      </c>
      <c r="V584" s="180">
        <f>SUM(B584:U584)</f>
        <v>0</v>
      </c>
      <c r="W584" s="53">
        <f>V584/20</f>
        <v>0</v>
      </c>
    </row>
    <row r="585" spans="1:23" s="3" customFormat="1">
      <c r="A585" s="200" t="s">
        <v>680</v>
      </c>
      <c r="B585" s="52">
        <f>('Scenario 2 Assumptions'!$B$279*('Scenario 2 Assumptions'!$B$374*0.5)/20)</f>
        <v>1.6875000000000001E-4</v>
      </c>
      <c r="C585" s="52">
        <f>('Scenario 2 Assumptions'!$B$279*('Scenario 2 Assumptions'!$B$374*0.5)/20)</f>
        <v>1.6875000000000001E-4</v>
      </c>
      <c r="D585" s="52">
        <f>('Scenario 2 Assumptions'!$B$279*('Scenario 2 Assumptions'!$B$374*0.5)/20)</f>
        <v>1.6875000000000001E-4</v>
      </c>
      <c r="E585" s="52">
        <f>('Scenario 2 Assumptions'!$B$279*('Scenario 2 Assumptions'!$B$374*0.5)/20)</f>
        <v>1.6875000000000001E-4</v>
      </c>
      <c r="F585" s="52">
        <f>('Scenario 2 Assumptions'!$B$279*('Scenario 2 Assumptions'!$B$374*0.5)/20)</f>
        <v>1.6875000000000001E-4</v>
      </c>
      <c r="G585" s="52">
        <f>('Scenario 2 Assumptions'!$B$279*('Scenario 2 Assumptions'!$B$374*0.5)/20)</f>
        <v>1.6875000000000001E-4</v>
      </c>
      <c r="H585" s="52">
        <f>('Scenario 2 Assumptions'!$B$279*('Scenario 2 Assumptions'!$B$374*0.5)/20)</f>
        <v>1.6875000000000001E-4</v>
      </c>
      <c r="I585" s="52">
        <f>('Scenario 2 Assumptions'!$B$279*('Scenario 2 Assumptions'!$B$374*0.5)/20)</f>
        <v>1.6875000000000001E-4</v>
      </c>
      <c r="J585" s="52">
        <f>('Scenario 2 Assumptions'!$B$279*('Scenario 2 Assumptions'!$B$374*0.5)/20)</f>
        <v>1.6875000000000001E-4</v>
      </c>
      <c r="K585" s="52">
        <f>('Scenario 2 Assumptions'!$B$279*('Scenario 2 Assumptions'!$B$374*0.5)/20)</f>
        <v>1.6875000000000001E-4</v>
      </c>
      <c r="L585" s="52">
        <f>('Scenario 2 Assumptions'!$B$279*('Scenario 2 Assumptions'!$B$374*0.5)/20)</f>
        <v>1.6875000000000001E-4</v>
      </c>
      <c r="M585" s="52">
        <f>('Scenario 2 Assumptions'!$B$279*('Scenario 2 Assumptions'!$B$374*0.5)/20)</f>
        <v>1.6875000000000001E-4</v>
      </c>
      <c r="N585" s="52">
        <f>('Scenario 2 Assumptions'!$B$279*('Scenario 2 Assumptions'!$B$374*0.5)/20)</f>
        <v>1.6875000000000001E-4</v>
      </c>
      <c r="O585" s="52">
        <f>('Scenario 2 Assumptions'!$B$279*('Scenario 2 Assumptions'!$B$374*0.5)/20)</f>
        <v>1.6875000000000001E-4</v>
      </c>
      <c r="P585" s="52">
        <f>('Scenario 2 Assumptions'!$B$279*('Scenario 2 Assumptions'!$B$374*0.5)/20)</f>
        <v>1.6875000000000001E-4</v>
      </c>
      <c r="Q585" s="52">
        <f>('Scenario 2 Assumptions'!$B$279*('Scenario 2 Assumptions'!$B$374*0.5)/20)</f>
        <v>1.6875000000000001E-4</v>
      </c>
      <c r="R585" s="52">
        <f>('Scenario 2 Assumptions'!$B$279*('Scenario 2 Assumptions'!$B$374*0.5)/20)</f>
        <v>1.6875000000000001E-4</v>
      </c>
      <c r="S585" s="52">
        <f>('Scenario 2 Assumptions'!$B$279*('Scenario 2 Assumptions'!$B$374*0.5)/20)</f>
        <v>1.6875000000000001E-4</v>
      </c>
      <c r="T585" s="52">
        <f>('Scenario 2 Assumptions'!$B$279*('Scenario 2 Assumptions'!$B$374*0.5)/20)</f>
        <v>1.6875000000000001E-4</v>
      </c>
      <c r="U585" s="52">
        <f>('Scenario 2 Assumptions'!$B$279*('Scenario 2 Assumptions'!$B$374*0.5)/20)</f>
        <v>1.6875000000000001E-4</v>
      </c>
      <c r="V585" s="180">
        <f t="shared" ref="V585:V586" si="775">SUM(B585:U585)</f>
        <v>3.3750000000000008E-3</v>
      </c>
      <c r="W585" s="53">
        <f t="shared" ref="W585:W586" si="776">V585/20</f>
        <v>1.6875000000000004E-4</v>
      </c>
    </row>
    <row r="586" spans="1:23" ht="13.5" customHeight="1">
      <c r="A586" s="49" t="s">
        <v>664</v>
      </c>
      <c r="B586" s="34">
        <f>SUM(B584:B585)</f>
        <v>1.6875000000000001E-4</v>
      </c>
      <c r="C586" s="34">
        <f t="shared" ref="C586" si="777">SUM(C584:C585)</f>
        <v>1.6875000000000001E-4</v>
      </c>
      <c r="D586" s="34">
        <f t="shared" ref="D586" si="778">SUM(D584:D585)</f>
        <v>1.6875000000000001E-4</v>
      </c>
      <c r="E586" s="34">
        <f t="shared" ref="E586" si="779">SUM(E584:E585)</f>
        <v>1.6875000000000001E-4</v>
      </c>
      <c r="F586" s="34">
        <f t="shared" ref="F586" si="780">SUM(F584:F585)</f>
        <v>1.6875000000000001E-4</v>
      </c>
      <c r="G586" s="34">
        <f t="shared" ref="G586" si="781">SUM(G584:G585)</f>
        <v>1.6875000000000001E-4</v>
      </c>
      <c r="H586" s="34">
        <f t="shared" ref="H586" si="782">SUM(H584:H585)</f>
        <v>1.6875000000000001E-4</v>
      </c>
      <c r="I586" s="34">
        <f t="shared" ref="I586" si="783">SUM(I584:I585)</f>
        <v>1.6875000000000001E-4</v>
      </c>
      <c r="J586" s="34">
        <f t="shared" ref="J586" si="784">SUM(J584:J585)</f>
        <v>1.6875000000000001E-4</v>
      </c>
      <c r="K586" s="34">
        <f t="shared" ref="K586" si="785">SUM(K584:K585)</f>
        <v>1.6875000000000001E-4</v>
      </c>
      <c r="L586" s="34">
        <f t="shared" ref="L586" si="786">SUM(L584:L585)</f>
        <v>1.6875000000000001E-4</v>
      </c>
      <c r="M586" s="34">
        <f t="shared" ref="M586" si="787">SUM(M584:M585)</f>
        <v>1.6875000000000001E-4</v>
      </c>
      <c r="N586" s="34">
        <f t="shared" ref="N586" si="788">SUM(N584:N585)</f>
        <v>1.6875000000000001E-4</v>
      </c>
      <c r="O586" s="34">
        <f t="shared" ref="O586" si="789">SUM(O584:O585)</f>
        <v>1.6875000000000001E-4</v>
      </c>
      <c r="P586" s="34">
        <f t="shared" ref="P586" si="790">SUM(P584:P585)</f>
        <v>1.6875000000000001E-4</v>
      </c>
      <c r="Q586" s="34">
        <f t="shared" ref="Q586" si="791">SUM(Q584:Q585)</f>
        <v>1.6875000000000001E-4</v>
      </c>
      <c r="R586" s="34">
        <f t="shared" ref="R586" si="792">SUM(R584:R585)</f>
        <v>1.6875000000000001E-4</v>
      </c>
      <c r="S586" s="34">
        <f t="shared" ref="S586" si="793">SUM(S584:S585)</f>
        <v>1.6875000000000001E-4</v>
      </c>
      <c r="T586" s="34">
        <f t="shared" ref="T586" si="794">SUM(T584:T585)</f>
        <v>1.6875000000000001E-4</v>
      </c>
      <c r="U586" s="34">
        <f t="shared" ref="U586" si="795">SUM(U584:U585)</f>
        <v>1.6875000000000001E-4</v>
      </c>
      <c r="V586" s="180">
        <f t="shared" si="775"/>
        <v>3.3750000000000008E-3</v>
      </c>
      <c r="W586" s="53">
        <f t="shared" si="776"/>
        <v>1.6875000000000004E-4</v>
      </c>
    </row>
    <row r="587" spans="1:23" s="81" customFormat="1">
      <c r="A587" s="134" t="s">
        <v>123</v>
      </c>
      <c r="B587" s="52">
        <v>0.96618357487922713</v>
      </c>
      <c r="C587" s="52">
        <v>0.93351070036640305</v>
      </c>
      <c r="D587" s="52">
        <v>0.90194270566802237</v>
      </c>
      <c r="E587" s="52">
        <v>0.87144222769857238</v>
      </c>
      <c r="F587" s="52">
        <v>0.84197316685852419</v>
      </c>
      <c r="G587" s="52">
        <v>0.81350064430775282</v>
      </c>
      <c r="H587" s="52">
        <v>0.78599096068381913</v>
      </c>
      <c r="I587" s="52">
        <v>0.75941155621625056</v>
      </c>
      <c r="J587" s="52">
        <v>0.73373097218961414</v>
      </c>
      <c r="K587" s="52">
        <v>0.70891881370977217</v>
      </c>
      <c r="L587" s="52">
        <v>0.68494571372924851</v>
      </c>
      <c r="M587" s="52">
        <v>0.66178329828912896</v>
      </c>
      <c r="N587" s="52">
        <v>0.63940415293635666</v>
      </c>
      <c r="O587" s="52">
        <v>0.61778179027667302</v>
      </c>
      <c r="P587" s="52">
        <v>0.59689061862480497</v>
      </c>
      <c r="Q587" s="52">
        <v>0.57670591171478747</v>
      </c>
      <c r="R587" s="52">
        <v>0.55720377943457733</v>
      </c>
      <c r="S587" s="52">
        <v>0.53836113955031628</v>
      </c>
      <c r="T587" s="52">
        <v>0.52015569038677911</v>
      </c>
      <c r="U587" s="52">
        <v>0.50256588443167061</v>
      </c>
      <c r="V587" s="180"/>
      <c r="W587" s="133"/>
    </row>
    <row r="588" spans="1:23">
      <c r="A588" s="50" t="s">
        <v>1069</v>
      </c>
      <c r="B588" s="34">
        <f t="shared" ref="B588:U588" si="796">B587*B586</f>
        <v>1.6304347826086958E-4</v>
      </c>
      <c r="C588" s="34">
        <f t="shared" si="796"/>
        <v>1.5752993068683053E-4</v>
      </c>
      <c r="D588" s="34">
        <f t="shared" si="796"/>
        <v>1.5220283158147877E-4</v>
      </c>
      <c r="E588" s="34">
        <f t="shared" si="796"/>
        <v>1.4705587592413411E-4</v>
      </c>
      <c r="F588" s="34">
        <f t="shared" si="796"/>
        <v>1.4208297190737598E-4</v>
      </c>
      <c r="G588" s="34">
        <f t="shared" si="796"/>
        <v>1.372782337269333E-4</v>
      </c>
      <c r="H588" s="34">
        <f t="shared" si="796"/>
        <v>1.3263597461539447E-4</v>
      </c>
      <c r="I588" s="34">
        <f t="shared" si="796"/>
        <v>1.281507001114923E-4</v>
      </c>
      <c r="J588" s="34">
        <f t="shared" si="796"/>
        <v>1.238171015569974E-4</v>
      </c>
      <c r="K588" s="34">
        <f t="shared" si="796"/>
        <v>1.1963004981352407E-4</v>
      </c>
      <c r="L588" s="34">
        <f t="shared" si="796"/>
        <v>1.1558458919181069E-4</v>
      </c>
      <c r="M588" s="34">
        <f t="shared" si="796"/>
        <v>1.1167593158629052E-4</v>
      </c>
      <c r="N588" s="34">
        <f t="shared" si="796"/>
        <v>1.0789945080801019E-4</v>
      </c>
      <c r="O588" s="34">
        <f t="shared" si="796"/>
        <v>1.0425067710918858E-4</v>
      </c>
      <c r="P588" s="34">
        <f t="shared" si="796"/>
        <v>1.0072529189293584E-4</v>
      </c>
      <c r="Q588" s="34">
        <f t="shared" si="796"/>
        <v>9.7319122601870396E-5</v>
      </c>
      <c r="R588" s="34">
        <f t="shared" si="796"/>
        <v>9.402813777958493E-5</v>
      </c>
      <c r="S588" s="34">
        <f t="shared" si="796"/>
        <v>9.0848442299115879E-5</v>
      </c>
      <c r="T588" s="34">
        <f t="shared" si="796"/>
        <v>8.7776272752768973E-5</v>
      </c>
      <c r="U588" s="34">
        <f t="shared" si="796"/>
        <v>8.4807992997844422E-5</v>
      </c>
      <c r="V588" s="182">
        <f>SUM(B588:U588)</f>
        <v>2.3983430572044511E-3</v>
      </c>
      <c r="W588" s="35"/>
    </row>
    <row r="589" spans="1:23">
      <c r="A589" s="48"/>
      <c r="B589" s="52"/>
      <c r="C589" s="52"/>
      <c r="D589" s="52"/>
      <c r="E589" s="52"/>
      <c r="F589" s="52"/>
      <c r="G589" s="52"/>
      <c r="H589" s="52"/>
      <c r="I589" s="52"/>
      <c r="J589" s="52"/>
      <c r="K589" s="52"/>
      <c r="L589" s="52"/>
      <c r="M589" s="52"/>
      <c r="N589" s="52"/>
      <c r="O589" s="52"/>
      <c r="P589" s="52"/>
      <c r="Q589" s="52"/>
      <c r="R589" s="52"/>
      <c r="S589" s="52"/>
      <c r="T589" s="52"/>
      <c r="U589" s="52"/>
      <c r="V589" s="180"/>
      <c r="W589" s="53"/>
    </row>
    <row r="590" spans="1:23">
      <c r="A590" s="135" t="s">
        <v>1192</v>
      </c>
      <c r="B590" s="52"/>
      <c r="C590" s="52"/>
      <c r="D590" s="52"/>
      <c r="E590" s="52"/>
      <c r="F590" s="52"/>
      <c r="G590" s="52"/>
      <c r="H590" s="52"/>
      <c r="I590" s="52"/>
      <c r="J590" s="52"/>
      <c r="K590" s="52"/>
      <c r="L590" s="52"/>
      <c r="M590" s="52"/>
      <c r="N590" s="52"/>
      <c r="O590" s="52"/>
      <c r="P590" s="52"/>
      <c r="Q590" s="52"/>
      <c r="R590" s="52"/>
      <c r="S590" s="52"/>
      <c r="T590" s="52"/>
      <c r="U590" s="52"/>
      <c r="V590" s="180"/>
      <c r="W590" s="53"/>
    </row>
    <row r="591" spans="1:23">
      <c r="A591" s="200" t="s">
        <v>679</v>
      </c>
      <c r="B591" s="52">
        <v>0</v>
      </c>
      <c r="C591" s="52">
        <v>0</v>
      </c>
      <c r="D591" s="52">
        <v>0</v>
      </c>
      <c r="E591" s="52">
        <v>0</v>
      </c>
      <c r="F591" s="52">
        <v>0</v>
      </c>
      <c r="G591" s="52">
        <v>0</v>
      </c>
      <c r="H591" s="52">
        <v>0</v>
      </c>
      <c r="I591" s="52">
        <v>0</v>
      </c>
      <c r="J591" s="52">
        <v>0</v>
      </c>
      <c r="K591" s="52">
        <v>0</v>
      </c>
      <c r="L591" s="52">
        <v>0</v>
      </c>
      <c r="M591" s="52">
        <v>0</v>
      </c>
      <c r="N591" s="52">
        <v>0</v>
      </c>
      <c r="O591" s="52">
        <v>0</v>
      </c>
      <c r="P591" s="52">
        <v>0</v>
      </c>
      <c r="Q591" s="52">
        <v>0</v>
      </c>
      <c r="R591" s="52">
        <v>0</v>
      </c>
      <c r="S591" s="52">
        <v>0</v>
      </c>
      <c r="T591" s="52">
        <v>0</v>
      </c>
      <c r="U591" s="52">
        <v>0</v>
      </c>
      <c r="V591" s="180">
        <f>SUM(B591:U591)</f>
        <v>0</v>
      </c>
      <c r="W591" s="53">
        <f>V591/20</f>
        <v>0</v>
      </c>
    </row>
    <row r="592" spans="1:23" s="3" customFormat="1">
      <c r="A592" s="200" t="s">
        <v>680</v>
      </c>
      <c r="B592" s="52">
        <f>('Scenario 2 Assumptions'!$B$279*('Scenario 2 Assumptions'!$B$375*0.5)/20)</f>
        <v>3.3750000000000002E-4</v>
      </c>
      <c r="C592" s="52">
        <f>('Scenario 2 Assumptions'!$B$279*('Scenario 2 Assumptions'!$B$375*0.5)/20)</f>
        <v>3.3750000000000002E-4</v>
      </c>
      <c r="D592" s="52">
        <f>('Scenario 2 Assumptions'!$B$279*('Scenario 2 Assumptions'!$B$375*0.5)/20)</f>
        <v>3.3750000000000002E-4</v>
      </c>
      <c r="E592" s="52">
        <f>('Scenario 2 Assumptions'!$B$279*('Scenario 2 Assumptions'!$B$375*0.5)/20)</f>
        <v>3.3750000000000002E-4</v>
      </c>
      <c r="F592" s="52">
        <f>('Scenario 2 Assumptions'!$B$279*('Scenario 2 Assumptions'!$B$375*0.5)/20)</f>
        <v>3.3750000000000002E-4</v>
      </c>
      <c r="G592" s="52">
        <f>('Scenario 2 Assumptions'!$B$279*('Scenario 2 Assumptions'!$B$375*0.5)/20)</f>
        <v>3.3750000000000002E-4</v>
      </c>
      <c r="H592" s="52">
        <f>('Scenario 2 Assumptions'!$B$279*('Scenario 2 Assumptions'!$B$375*0.5)/20)</f>
        <v>3.3750000000000002E-4</v>
      </c>
      <c r="I592" s="52">
        <f>('Scenario 2 Assumptions'!$B$279*('Scenario 2 Assumptions'!$B$375*0.5)/20)</f>
        <v>3.3750000000000002E-4</v>
      </c>
      <c r="J592" s="52">
        <f>('Scenario 2 Assumptions'!$B$279*('Scenario 2 Assumptions'!$B$375*0.5)/20)</f>
        <v>3.3750000000000002E-4</v>
      </c>
      <c r="K592" s="52">
        <f>('Scenario 2 Assumptions'!$B$279*('Scenario 2 Assumptions'!$B$375*0.5)/20)</f>
        <v>3.3750000000000002E-4</v>
      </c>
      <c r="L592" s="52">
        <f>('Scenario 2 Assumptions'!$B$279*('Scenario 2 Assumptions'!$B$375*0.5)/20)</f>
        <v>3.3750000000000002E-4</v>
      </c>
      <c r="M592" s="52">
        <f>('Scenario 2 Assumptions'!$B$279*('Scenario 2 Assumptions'!$B$375*0.5)/20)</f>
        <v>3.3750000000000002E-4</v>
      </c>
      <c r="N592" s="52">
        <f>('Scenario 2 Assumptions'!$B$279*('Scenario 2 Assumptions'!$B$375*0.5)/20)</f>
        <v>3.3750000000000002E-4</v>
      </c>
      <c r="O592" s="52">
        <f>('Scenario 2 Assumptions'!$B$279*('Scenario 2 Assumptions'!$B$375*0.5)/20)</f>
        <v>3.3750000000000002E-4</v>
      </c>
      <c r="P592" s="52">
        <f>('Scenario 2 Assumptions'!$B$279*('Scenario 2 Assumptions'!$B$375*0.5)/20)</f>
        <v>3.3750000000000002E-4</v>
      </c>
      <c r="Q592" s="52">
        <f>('Scenario 2 Assumptions'!$B$279*('Scenario 2 Assumptions'!$B$375*0.5)/20)</f>
        <v>3.3750000000000002E-4</v>
      </c>
      <c r="R592" s="52">
        <f>('Scenario 2 Assumptions'!$B$279*('Scenario 2 Assumptions'!$B$375*0.5)/20)</f>
        <v>3.3750000000000002E-4</v>
      </c>
      <c r="S592" s="52">
        <f>('Scenario 2 Assumptions'!$B$279*('Scenario 2 Assumptions'!$B$375*0.5)/20)</f>
        <v>3.3750000000000002E-4</v>
      </c>
      <c r="T592" s="52">
        <f>('Scenario 2 Assumptions'!$B$279*('Scenario 2 Assumptions'!$B$375*0.5)/20)</f>
        <v>3.3750000000000002E-4</v>
      </c>
      <c r="U592" s="52">
        <f>('Scenario 2 Assumptions'!$B$279*('Scenario 2 Assumptions'!$B$375*0.5)/20)</f>
        <v>3.3750000000000002E-4</v>
      </c>
      <c r="V592" s="180">
        <f t="shared" ref="V592:V593" si="797">SUM(B592:U592)</f>
        <v>6.7500000000000017E-3</v>
      </c>
      <c r="W592" s="53">
        <f t="shared" ref="W592:W593" si="798">V592/20</f>
        <v>3.3750000000000007E-4</v>
      </c>
    </row>
    <row r="593" spans="1:23" ht="13.5" customHeight="1">
      <c r="A593" s="49" t="s">
        <v>664</v>
      </c>
      <c r="B593" s="34">
        <f>SUM(B591:B592)</f>
        <v>3.3750000000000002E-4</v>
      </c>
      <c r="C593" s="34">
        <f t="shared" ref="C593" si="799">SUM(C591:C592)</f>
        <v>3.3750000000000002E-4</v>
      </c>
      <c r="D593" s="34">
        <f t="shared" ref="D593" si="800">SUM(D591:D592)</f>
        <v>3.3750000000000002E-4</v>
      </c>
      <c r="E593" s="34">
        <f t="shared" ref="E593" si="801">SUM(E591:E592)</f>
        <v>3.3750000000000002E-4</v>
      </c>
      <c r="F593" s="34">
        <f t="shared" ref="F593" si="802">SUM(F591:F592)</f>
        <v>3.3750000000000002E-4</v>
      </c>
      <c r="G593" s="34">
        <f t="shared" ref="G593" si="803">SUM(G591:G592)</f>
        <v>3.3750000000000002E-4</v>
      </c>
      <c r="H593" s="34">
        <f t="shared" ref="H593" si="804">SUM(H591:H592)</f>
        <v>3.3750000000000002E-4</v>
      </c>
      <c r="I593" s="34">
        <f t="shared" ref="I593" si="805">SUM(I591:I592)</f>
        <v>3.3750000000000002E-4</v>
      </c>
      <c r="J593" s="34">
        <f t="shared" ref="J593" si="806">SUM(J591:J592)</f>
        <v>3.3750000000000002E-4</v>
      </c>
      <c r="K593" s="34">
        <f t="shared" ref="K593" si="807">SUM(K591:K592)</f>
        <v>3.3750000000000002E-4</v>
      </c>
      <c r="L593" s="34">
        <f t="shared" ref="L593" si="808">SUM(L591:L592)</f>
        <v>3.3750000000000002E-4</v>
      </c>
      <c r="M593" s="34">
        <f t="shared" ref="M593" si="809">SUM(M591:M592)</f>
        <v>3.3750000000000002E-4</v>
      </c>
      <c r="N593" s="34">
        <f t="shared" ref="N593" si="810">SUM(N591:N592)</f>
        <v>3.3750000000000002E-4</v>
      </c>
      <c r="O593" s="34">
        <f t="shared" ref="O593" si="811">SUM(O591:O592)</f>
        <v>3.3750000000000002E-4</v>
      </c>
      <c r="P593" s="34">
        <f t="shared" ref="P593" si="812">SUM(P591:P592)</f>
        <v>3.3750000000000002E-4</v>
      </c>
      <c r="Q593" s="34">
        <f t="shared" ref="Q593" si="813">SUM(Q591:Q592)</f>
        <v>3.3750000000000002E-4</v>
      </c>
      <c r="R593" s="34">
        <f t="shared" ref="R593" si="814">SUM(R591:R592)</f>
        <v>3.3750000000000002E-4</v>
      </c>
      <c r="S593" s="34">
        <f t="shared" ref="S593" si="815">SUM(S591:S592)</f>
        <v>3.3750000000000002E-4</v>
      </c>
      <c r="T593" s="34">
        <f t="shared" ref="T593" si="816">SUM(T591:T592)</f>
        <v>3.3750000000000002E-4</v>
      </c>
      <c r="U593" s="34">
        <f t="shared" ref="U593" si="817">SUM(U591:U592)</f>
        <v>3.3750000000000002E-4</v>
      </c>
      <c r="V593" s="180">
        <f t="shared" si="797"/>
        <v>6.7500000000000017E-3</v>
      </c>
      <c r="W593" s="53">
        <f t="shared" si="798"/>
        <v>3.3750000000000007E-4</v>
      </c>
    </row>
    <row r="594" spans="1:23" s="81" customFormat="1">
      <c r="A594" s="134" t="s">
        <v>123</v>
      </c>
      <c r="B594" s="52">
        <v>0.96618357487922713</v>
      </c>
      <c r="C594" s="52">
        <v>0.93351070036640305</v>
      </c>
      <c r="D594" s="52">
        <v>0.90194270566802237</v>
      </c>
      <c r="E594" s="52">
        <v>0.87144222769857238</v>
      </c>
      <c r="F594" s="52">
        <v>0.84197316685852419</v>
      </c>
      <c r="G594" s="52">
        <v>0.81350064430775282</v>
      </c>
      <c r="H594" s="52">
        <v>0.78599096068381913</v>
      </c>
      <c r="I594" s="52">
        <v>0.75941155621625056</v>
      </c>
      <c r="J594" s="52">
        <v>0.73373097218961414</v>
      </c>
      <c r="K594" s="52">
        <v>0.70891881370977217</v>
      </c>
      <c r="L594" s="52">
        <v>0.68494571372924851</v>
      </c>
      <c r="M594" s="52">
        <v>0.66178329828912896</v>
      </c>
      <c r="N594" s="52">
        <v>0.63940415293635666</v>
      </c>
      <c r="O594" s="52">
        <v>0.61778179027667302</v>
      </c>
      <c r="P594" s="52">
        <v>0.59689061862480497</v>
      </c>
      <c r="Q594" s="52">
        <v>0.57670591171478747</v>
      </c>
      <c r="R594" s="52">
        <v>0.55720377943457733</v>
      </c>
      <c r="S594" s="52">
        <v>0.53836113955031628</v>
      </c>
      <c r="T594" s="52">
        <v>0.52015569038677911</v>
      </c>
      <c r="U594" s="52">
        <v>0.50256588443167061</v>
      </c>
      <c r="V594" s="180"/>
      <c r="W594" s="133"/>
    </row>
    <row r="595" spans="1:23">
      <c r="A595" s="50" t="s">
        <v>1069</v>
      </c>
      <c r="B595" s="34">
        <f t="shared" ref="B595:U595" si="818">B594*B593</f>
        <v>3.2608695652173916E-4</v>
      </c>
      <c r="C595" s="34">
        <f t="shared" si="818"/>
        <v>3.1505986137366106E-4</v>
      </c>
      <c r="D595" s="34">
        <f t="shared" si="818"/>
        <v>3.0440566316295754E-4</v>
      </c>
      <c r="E595" s="34">
        <f t="shared" si="818"/>
        <v>2.9411175184826822E-4</v>
      </c>
      <c r="F595" s="34">
        <f t="shared" si="818"/>
        <v>2.8416594381475195E-4</v>
      </c>
      <c r="G595" s="34">
        <f t="shared" si="818"/>
        <v>2.745564674538666E-4</v>
      </c>
      <c r="H595" s="34">
        <f t="shared" si="818"/>
        <v>2.6527194923078894E-4</v>
      </c>
      <c r="I595" s="34">
        <f t="shared" si="818"/>
        <v>2.5630140022298459E-4</v>
      </c>
      <c r="J595" s="34">
        <f t="shared" si="818"/>
        <v>2.476342031139948E-4</v>
      </c>
      <c r="K595" s="34">
        <f t="shared" si="818"/>
        <v>2.3926009962704813E-4</v>
      </c>
      <c r="L595" s="34">
        <f t="shared" si="818"/>
        <v>2.3116917838362139E-4</v>
      </c>
      <c r="M595" s="34">
        <f t="shared" si="818"/>
        <v>2.2335186317258104E-4</v>
      </c>
      <c r="N595" s="34">
        <f t="shared" si="818"/>
        <v>2.1579890161602038E-4</v>
      </c>
      <c r="O595" s="34">
        <f t="shared" si="818"/>
        <v>2.0850135421837717E-4</v>
      </c>
      <c r="P595" s="34">
        <f t="shared" si="818"/>
        <v>2.0145058378587169E-4</v>
      </c>
      <c r="Q595" s="34">
        <f t="shared" si="818"/>
        <v>1.9463824520374079E-4</v>
      </c>
      <c r="R595" s="34">
        <f t="shared" si="818"/>
        <v>1.8805627555916986E-4</v>
      </c>
      <c r="S595" s="34">
        <f t="shared" si="818"/>
        <v>1.8169688459823176E-4</v>
      </c>
      <c r="T595" s="34">
        <f t="shared" si="818"/>
        <v>1.7555254550553795E-4</v>
      </c>
      <c r="U595" s="34">
        <f t="shared" si="818"/>
        <v>1.6961598599568884E-4</v>
      </c>
      <c r="V595" s="182">
        <f>SUM(B595:U595)</f>
        <v>4.7966861144089021E-3</v>
      </c>
      <c r="W595" s="35"/>
    </row>
    <row r="596" spans="1:23">
      <c r="A596" s="48"/>
      <c r="B596" s="52"/>
      <c r="C596" s="52"/>
      <c r="D596" s="52"/>
      <c r="E596" s="52"/>
      <c r="F596" s="52"/>
      <c r="G596" s="52"/>
      <c r="H596" s="52"/>
      <c r="I596" s="52"/>
      <c r="J596" s="52"/>
      <c r="K596" s="52"/>
      <c r="L596" s="52"/>
      <c r="M596" s="52"/>
      <c r="N596" s="52"/>
      <c r="O596" s="52"/>
      <c r="P596" s="52"/>
      <c r="Q596" s="52"/>
      <c r="R596" s="52"/>
      <c r="S596" s="52"/>
      <c r="T596" s="52"/>
      <c r="U596" s="52"/>
      <c r="V596" s="180"/>
      <c r="W596" s="53"/>
    </row>
    <row r="597" spans="1:23">
      <c r="A597" s="135" t="s">
        <v>1125</v>
      </c>
      <c r="B597" s="52"/>
      <c r="C597" s="52"/>
      <c r="D597" s="52"/>
      <c r="E597" s="52"/>
      <c r="F597" s="52"/>
      <c r="G597" s="52"/>
      <c r="H597" s="52"/>
      <c r="I597" s="52"/>
      <c r="J597" s="52"/>
      <c r="K597" s="52"/>
      <c r="L597" s="52"/>
      <c r="M597" s="52"/>
      <c r="N597" s="52"/>
      <c r="O597" s="52"/>
      <c r="P597" s="52"/>
      <c r="Q597" s="52"/>
      <c r="R597" s="52"/>
      <c r="S597" s="52"/>
      <c r="T597" s="52"/>
      <c r="U597" s="52"/>
      <c r="V597" s="180"/>
      <c r="W597" s="53"/>
    </row>
    <row r="598" spans="1:23">
      <c r="A598" s="200" t="s">
        <v>679</v>
      </c>
      <c r="B598" s="52">
        <v>0</v>
      </c>
      <c r="C598" s="52">
        <v>0</v>
      </c>
      <c r="D598" s="52">
        <v>0</v>
      </c>
      <c r="E598" s="52">
        <v>0</v>
      </c>
      <c r="F598" s="52">
        <v>0</v>
      </c>
      <c r="G598" s="52">
        <v>0</v>
      </c>
      <c r="H598" s="52">
        <v>0</v>
      </c>
      <c r="I598" s="52">
        <v>0</v>
      </c>
      <c r="J598" s="52">
        <v>0</v>
      </c>
      <c r="K598" s="52">
        <v>0</v>
      </c>
      <c r="L598" s="52">
        <v>0</v>
      </c>
      <c r="M598" s="52">
        <v>0</v>
      </c>
      <c r="N598" s="52">
        <v>0</v>
      </c>
      <c r="O598" s="52">
        <v>0</v>
      </c>
      <c r="P598" s="52">
        <v>0</v>
      </c>
      <c r="Q598" s="52">
        <v>0</v>
      </c>
      <c r="R598" s="52">
        <v>0</v>
      </c>
      <c r="S598" s="52">
        <v>0</v>
      </c>
      <c r="T598" s="52">
        <v>0</v>
      </c>
      <c r="U598" s="52">
        <v>0</v>
      </c>
      <c r="V598" s="180">
        <f>SUM(B598:U598)</f>
        <v>0</v>
      </c>
      <c r="W598" s="53">
        <f>V598/20</f>
        <v>0</v>
      </c>
    </row>
    <row r="599" spans="1:23" s="3" customFormat="1">
      <c r="A599" s="200" t="s">
        <v>680</v>
      </c>
      <c r="B599" s="52">
        <f>('Scenario 2 Assumptions'!$B$279*('Scenario 2 Assumptions'!$B$376*0.5)/20)</f>
        <v>1.6875000000000001E-4</v>
      </c>
      <c r="C599" s="52">
        <f>('Scenario 2 Assumptions'!$B$279*('Scenario 2 Assumptions'!$B$376*0.5)/20)</f>
        <v>1.6875000000000001E-4</v>
      </c>
      <c r="D599" s="52">
        <f>('Scenario 2 Assumptions'!$B$279*('Scenario 2 Assumptions'!$B$376*0.5)/20)</f>
        <v>1.6875000000000001E-4</v>
      </c>
      <c r="E599" s="52">
        <f>('Scenario 2 Assumptions'!$B$279*('Scenario 2 Assumptions'!$B$376*0.5)/20)</f>
        <v>1.6875000000000001E-4</v>
      </c>
      <c r="F599" s="52">
        <f>('Scenario 2 Assumptions'!$B$279*('Scenario 2 Assumptions'!$B$376*0.5)/20)</f>
        <v>1.6875000000000001E-4</v>
      </c>
      <c r="G599" s="52">
        <f>('Scenario 2 Assumptions'!$B$279*('Scenario 2 Assumptions'!$B$376*0.5)/20)</f>
        <v>1.6875000000000001E-4</v>
      </c>
      <c r="H599" s="52">
        <f>('Scenario 2 Assumptions'!$B$279*('Scenario 2 Assumptions'!$B$376*0.5)/20)</f>
        <v>1.6875000000000001E-4</v>
      </c>
      <c r="I599" s="52">
        <f>('Scenario 2 Assumptions'!$B$279*('Scenario 2 Assumptions'!$B$376*0.5)/20)</f>
        <v>1.6875000000000001E-4</v>
      </c>
      <c r="J599" s="52">
        <f>('Scenario 2 Assumptions'!$B$279*('Scenario 2 Assumptions'!$B$376*0.5)/20)</f>
        <v>1.6875000000000001E-4</v>
      </c>
      <c r="K599" s="52">
        <f>('Scenario 2 Assumptions'!$B$279*('Scenario 2 Assumptions'!$B$376*0.5)/20)</f>
        <v>1.6875000000000001E-4</v>
      </c>
      <c r="L599" s="52">
        <f>('Scenario 2 Assumptions'!$B$279*('Scenario 2 Assumptions'!$B$376*0.5)/20)</f>
        <v>1.6875000000000001E-4</v>
      </c>
      <c r="M599" s="52">
        <f>('Scenario 2 Assumptions'!$B$279*('Scenario 2 Assumptions'!$B$376*0.5)/20)</f>
        <v>1.6875000000000001E-4</v>
      </c>
      <c r="N599" s="52">
        <f>('Scenario 2 Assumptions'!$B$279*('Scenario 2 Assumptions'!$B$376*0.5)/20)</f>
        <v>1.6875000000000001E-4</v>
      </c>
      <c r="O599" s="52">
        <f>('Scenario 2 Assumptions'!$B$279*('Scenario 2 Assumptions'!$B$376*0.5)/20)</f>
        <v>1.6875000000000001E-4</v>
      </c>
      <c r="P599" s="52">
        <f>('Scenario 2 Assumptions'!$B$279*('Scenario 2 Assumptions'!$B$376*0.5)/20)</f>
        <v>1.6875000000000001E-4</v>
      </c>
      <c r="Q599" s="52">
        <f>('Scenario 2 Assumptions'!$B$279*('Scenario 2 Assumptions'!$B$376*0.5)/20)</f>
        <v>1.6875000000000001E-4</v>
      </c>
      <c r="R599" s="52">
        <f>('Scenario 2 Assumptions'!$B$279*('Scenario 2 Assumptions'!$B$376*0.5)/20)</f>
        <v>1.6875000000000001E-4</v>
      </c>
      <c r="S599" s="52">
        <f>('Scenario 2 Assumptions'!$B$279*('Scenario 2 Assumptions'!$B$376*0.5)/20)</f>
        <v>1.6875000000000001E-4</v>
      </c>
      <c r="T599" s="52">
        <f>('Scenario 2 Assumptions'!$B$279*('Scenario 2 Assumptions'!$B$376*0.5)/20)</f>
        <v>1.6875000000000001E-4</v>
      </c>
      <c r="U599" s="52">
        <f>('Scenario 2 Assumptions'!$B$279*('Scenario 2 Assumptions'!$B$376*0.5)/20)</f>
        <v>1.6875000000000001E-4</v>
      </c>
      <c r="V599" s="180">
        <f t="shared" ref="V599:V600" si="819">SUM(B599:U599)</f>
        <v>3.3750000000000008E-3</v>
      </c>
      <c r="W599" s="53">
        <f t="shared" ref="W599:W600" si="820">V599/20</f>
        <v>1.6875000000000004E-4</v>
      </c>
    </row>
    <row r="600" spans="1:23" ht="13.5" customHeight="1">
      <c r="A600" s="49" t="s">
        <v>664</v>
      </c>
      <c r="B600" s="34">
        <f>SUM(B598:B599)</f>
        <v>1.6875000000000001E-4</v>
      </c>
      <c r="C600" s="34">
        <f t="shared" ref="C600" si="821">SUM(C598:C599)</f>
        <v>1.6875000000000001E-4</v>
      </c>
      <c r="D600" s="34">
        <f t="shared" ref="D600" si="822">SUM(D598:D599)</f>
        <v>1.6875000000000001E-4</v>
      </c>
      <c r="E600" s="34">
        <f t="shared" ref="E600" si="823">SUM(E598:E599)</f>
        <v>1.6875000000000001E-4</v>
      </c>
      <c r="F600" s="34">
        <f t="shared" ref="F600" si="824">SUM(F598:F599)</f>
        <v>1.6875000000000001E-4</v>
      </c>
      <c r="G600" s="34">
        <f t="shared" ref="G600" si="825">SUM(G598:G599)</f>
        <v>1.6875000000000001E-4</v>
      </c>
      <c r="H600" s="34">
        <f t="shared" ref="H600" si="826">SUM(H598:H599)</f>
        <v>1.6875000000000001E-4</v>
      </c>
      <c r="I600" s="34">
        <f t="shared" ref="I600" si="827">SUM(I598:I599)</f>
        <v>1.6875000000000001E-4</v>
      </c>
      <c r="J600" s="34">
        <f t="shared" ref="J600" si="828">SUM(J598:J599)</f>
        <v>1.6875000000000001E-4</v>
      </c>
      <c r="K600" s="34">
        <f t="shared" ref="K600" si="829">SUM(K598:K599)</f>
        <v>1.6875000000000001E-4</v>
      </c>
      <c r="L600" s="34">
        <f t="shared" ref="L600" si="830">SUM(L598:L599)</f>
        <v>1.6875000000000001E-4</v>
      </c>
      <c r="M600" s="34">
        <f t="shared" ref="M600" si="831">SUM(M598:M599)</f>
        <v>1.6875000000000001E-4</v>
      </c>
      <c r="N600" s="34">
        <f t="shared" ref="N600" si="832">SUM(N598:N599)</f>
        <v>1.6875000000000001E-4</v>
      </c>
      <c r="O600" s="34">
        <f t="shared" ref="O600" si="833">SUM(O598:O599)</f>
        <v>1.6875000000000001E-4</v>
      </c>
      <c r="P600" s="34">
        <f t="shared" ref="P600" si="834">SUM(P598:P599)</f>
        <v>1.6875000000000001E-4</v>
      </c>
      <c r="Q600" s="34">
        <f t="shared" ref="Q600" si="835">SUM(Q598:Q599)</f>
        <v>1.6875000000000001E-4</v>
      </c>
      <c r="R600" s="34">
        <f t="shared" ref="R600" si="836">SUM(R598:R599)</f>
        <v>1.6875000000000001E-4</v>
      </c>
      <c r="S600" s="34">
        <f t="shared" ref="S600" si="837">SUM(S598:S599)</f>
        <v>1.6875000000000001E-4</v>
      </c>
      <c r="T600" s="34">
        <f t="shared" ref="T600" si="838">SUM(T598:T599)</f>
        <v>1.6875000000000001E-4</v>
      </c>
      <c r="U600" s="34">
        <f t="shared" ref="U600" si="839">SUM(U598:U599)</f>
        <v>1.6875000000000001E-4</v>
      </c>
      <c r="V600" s="180">
        <f t="shared" si="819"/>
        <v>3.3750000000000008E-3</v>
      </c>
      <c r="W600" s="53">
        <f t="shared" si="820"/>
        <v>1.6875000000000004E-4</v>
      </c>
    </row>
    <row r="601" spans="1:23" s="81" customFormat="1">
      <c r="A601" s="134" t="s">
        <v>123</v>
      </c>
      <c r="B601" s="52">
        <v>0.96618357487922713</v>
      </c>
      <c r="C601" s="52">
        <v>0.93351070036640305</v>
      </c>
      <c r="D601" s="52">
        <v>0.90194270566802237</v>
      </c>
      <c r="E601" s="52">
        <v>0.87144222769857238</v>
      </c>
      <c r="F601" s="52">
        <v>0.84197316685852419</v>
      </c>
      <c r="G601" s="52">
        <v>0.81350064430775282</v>
      </c>
      <c r="H601" s="52">
        <v>0.78599096068381913</v>
      </c>
      <c r="I601" s="52">
        <v>0.75941155621625056</v>
      </c>
      <c r="J601" s="52">
        <v>0.73373097218961414</v>
      </c>
      <c r="K601" s="52">
        <v>0.70891881370977217</v>
      </c>
      <c r="L601" s="52">
        <v>0.68494571372924851</v>
      </c>
      <c r="M601" s="52">
        <v>0.66178329828912896</v>
      </c>
      <c r="N601" s="52">
        <v>0.63940415293635666</v>
      </c>
      <c r="O601" s="52">
        <v>0.61778179027667302</v>
      </c>
      <c r="P601" s="52">
        <v>0.59689061862480497</v>
      </c>
      <c r="Q601" s="52">
        <v>0.57670591171478747</v>
      </c>
      <c r="R601" s="52">
        <v>0.55720377943457733</v>
      </c>
      <c r="S601" s="52">
        <v>0.53836113955031628</v>
      </c>
      <c r="T601" s="52">
        <v>0.52015569038677911</v>
      </c>
      <c r="U601" s="52">
        <v>0.50256588443167061</v>
      </c>
      <c r="V601" s="180"/>
      <c r="W601" s="133"/>
    </row>
    <row r="602" spans="1:23">
      <c r="A602" s="50" t="s">
        <v>1069</v>
      </c>
      <c r="B602" s="34">
        <f t="shared" ref="B602:U602" si="840">B601*B600</f>
        <v>1.6304347826086958E-4</v>
      </c>
      <c r="C602" s="34">
        <f t="shared" si="840"/>
        <v>1.5752993068683053E-4</v>
      </c>
      <c r="D602" s="34">
        <f t="shared" si="840"/>
        <v>1.5220283158147877E-4</v>
      </c>
      <c r="E602" s="34">
        <f t="shared" si="840"/>
        <v>1.4705587592413411E-4</v>
      </c>
      <c r="F602" s="34">
        <f t="shared" si="840"/>
        <v>1.4208297190737598E-4</v>
      </c>
      <c r="G602" s="34">
        <f t="shared" si="840"/>
        <v>1.372782337269333E-4</v>
      </c>
      <c r="H602" s="34">
        <f t="shared" si="840"/>
        <v>1.3263597461539447E-4</v>
      </c>
      <c r="I602" s="34">
        <f t="shared" si="840"/>
        <v>1.281507001114923E-4</v>
      </c>
      <c r="J602" s="34">
        <f t="shared" si="840"/>
        <v>1.238171015569974E-4</v>
      </c>
      <c r="K602" s="34">
        <f t="shared" si="840"/>
        <v>1.1963004981352407E-4</v>
      </c>
      <c r="L602" s="34">
        <f t="shared" si="840"/>
        <v>1.1558458919181069E-4</v>
      </c>
      <c r="M602" s="34">
        <f t="shared" si="840"/>
        <v>1.1167593158629052E-4</v>
      </c>
      <c r="N602" s="34">
        <f t="shared" si="840"/>
        <v>1.0789945080801019E-4</v>
      </c>
      <c r="O602" s="34">
        <f t="shared" si="840"/>
        <v>1.0425067710918858E-4</v>
      </c>
      <c r="P602" s="34">
        <f t="shared" si="840"/>
        <v>1.0072529189293584E-4</v>
      </c>
      <c r="Q602" s="34">
        <f t="shared" si="840"/>
        <v>9.7319122601870396E-5</v>
      </c>
      <c r="R602" s="34">
        <f t="shared" si="840"/>
        <v>9.402813777958493E-5</v>
      </c>
      <c r="S602" s="34">
        <f t="shared" si="840"/>
        <v>9.0848442299115879E-5</v>
      </c>
      <c r="T602" s="34">
        <f t="shared" si="840"/>
        <v>8.7776272752768973E-5</v>
      </c>
      <c r="U602" s="34">
        <f t="shared" si="840"/>
        <v>8.4807992997844422E-5</v>
      </c>
      <c r="V602" s="182">
        <f>SUM(B602:U602)</f>
        <v>2.3983430572044511E-3</v>
      </c>
      <c r="W602" s="35"/>
    </row>
    <row r="603" spans="1:23">
      <c r="A603" s="48"/>
      <c r="B603" s="52"/>
      <c r="C603" s="52"/>
      <c r="D603" s="52"/>
      <c r="E603" s="52"/>
      <c r="F603" s="52"/>
      <c r="G603" s="52"/>
      <c r="H603" s="52"/>
      <c r="I603" s="52"/>
      <c r="J603" s="52"/>
      <c r="K603" s="52"/>
      <c r="L603" s="52"/>
      <c r="M603" s="52"/>
      <c r="N603" s="52"/>
      <c r="O603" s="52"/>
      <c r="P603" s="52"/>
      <c r="Q603" s="52"/>
      <c r="R603" s="52"/>
      <c r="S603" s="52"/>
      <c r="T603" s="52"/>
      <c r="U603" s="52"/>
      <c r="V603" s="180"/>
      <c r="W603" s="53"/>
    </row>
    <row r="604" spans="1:23">
      <c r="A604" s="36" t="s">
        <v>1300</v>
      </c>
      <c r="B604" s="52"/>
      <c r="C604" s="52"/>
      <c r="D604" s="52"/>
      <c r="E604" s="52"/>
      <c r="F604" s="52"/>
      <c r="G604" s="52"/>
      <c r="H604" s="52"/>
      <c r="I604" s="52"/>
      <c r="J604" s="52"/>
      <c r="K604" s="52"/>
      <c r="L604" s="52"/>
      <c r="M604" s="52"/>
      <c r="N604" s="52"/>
      <c r="O604" s="52"/>
      <c r="P604" s="52"/>
      <c r="Q604" s="52"/>
      <c r="R604" s="52"/>
      <c r="S604" s="52"/>
      <c r="T604" s="52"/>
      <c r="U604" s="52"/>
      <c r="V604" s="180"/>
      <c r="W604" s="53"/>
    </row>
    <row r="605" spans="1:23">
      <c r="A605" s="200" t="s">
        <v>679</v>
      </c>
      <c r="B605" s="52">
        <v>0</v>
      </c>
      <c r="C605" s="52">
        <v>0</v>
      </c>
      <c r="D605" s="52">
        <v>0</v>
      </c>
      <c r="E605" s="52">
        <v>0</v>
      </c>
      <c r="F605" s="52">
        <v>0</v>
      </c>
      <c r="G605" s="52">
        <v>0</v>
      </c>
      <c r="H605" s="52">
        <v>0</v>
      </c>
      <c r="I605" s="52">
        <v>0</v>
      </c>
      <c r="J605" s="52">
        <v>0</v>
      </c>
      <c r="K605" s="52">
        <v>0</v>
      </c>
      <c r="L605" s="52">
        <v>0</v>
      </c>
      <c r="M605" s="52">
        <v>0</v>
      </c>
      <c r="N605" s="52">
        <v>0</v>
      </c>
      <c r="O605" s="52">
        <v>0</v>
      </c>
      <c r="P605" s="52">
        <v>0</v>
      </c>
      <c r="Q605" s="52">
        <v>0</v>
      </c>
      <c r="R605" s="52">
        <v>0</v>
      </c>
      <c r="S605" s="52">
        <v>0</v>
      </c>
      <c r="T605" s="52">
        <v>0</v>
      </c>
      <c r="U605" s="52">
        <v>0</v>
      </c>
      <c r="V605" s="180">
        <f>SUM(B605:U605)</f>
        <v>0</v>
      </c>
      <c r="W605" s="53">
        <f>V605/20</f>
        <v>0</v>
      </c>
    </row>
    <row r="606" spans="1:23" s="3" customFormat="1">
      <c r="A606" s="200" t="s">
        <v>680</v>
      </c>
      <c r="B606" s="52">
        <f t="shared" ref="B606:U606" si="841">B35</f>
        <v>0</v>
      </c>
      <c r="C606" s="52">
        <f t="shared" si="841"/>
        <v>0</v>
      </c>
      <c r="D606" s="52">
        <f t="shared" si="841"/>
        <v>0</v>
      </c>
      <c r="E606" s="52">
        <f t="shared" si="841"/>
        <v>0</v>
      </c>
      <c r="F606" s="52">
        <f t="shared" si="841"/>
        <v>0</v>
      </c>
      <c r="G606" s="52">
        <f t="shared" si="841"/>
        <v>0</v>
      </c>
      <c r="H606" s="52">
        <f t="shared" si="841"/>
        <v>0</v>
      </c>
      <c r="I606" s="52">
        <f t="shared" si="841"/>
        <v>0</v>
      </c>
      <c r="J606" s="52">
        <f t="shared" si="841"/>
        <v>0</v>
      </c>
      <c r="K606" s="52">
        <f t="shared" si="841"/>
        <v>0</v>
      </c>
      <c r="L606" s="52">
        <f t="shared" si="841"/>
        <v>0</v>
      </c>
      <c r="M606" s="52">
        <f t="shared" si="841"/>
        <v>0</v>
      </c>
      <c r="N606" s="52">
        <f t="shared" si="841"/>
        <v>0</v>
      </c>
      <c r="O606" s="52">
        <f t="shared" si="841"/>
        <v>0</v>
      </c>
      <c r="P606" s="52">
        <f t="shared" si="841"/>
        <v>0</v>
      </c>
      <c r="Q606" s="52">
        <f t="shared" si="841"/>
        <v>0</v>
      </c>
      <c r="R606" s="52">
        <f t="shared" si="841"/>
        <v>0</v>
      </c>
      <c r="S606" s="52">
        <f t="shared" si="841"/>
        <v>0</v>
      </c>
      <c r="T606" s="52">
        <f t="shared" si="841"/>
        <v>0</v>
      </c>
      <c r="U606" s="52">
        <f t="shared" si="841"/>
        <v>0</v>
      </c>
      <c r="V606" s="180">
        <f t="shared" ref="V606:V607" si="842">SUM(B606:U606)</f>
        <v>0</v>
      </c>
      <c r="W606" s="53">
        <f t="shared" ref="W606:W607" si="843">V606/20</f>
        <v>0</v>
      </c>
    </row>
    <row r="607" spans="1:23" ht="13.5" customHeight="1">
      <c r="A607" s="49" t="s">
        <v>664</v>
      </c>
      <c r="B607" s="34">
        <f>SUM(B605:B606)</f>
        <v>0</v>
      </c>
      <c r="C607" s="34">
        <f t="shared" ref="C607" si="844">SUM(C605:C606)</f>
        <v>0</v>
      </c>
      <c r="D607" s="34">
        <f t="shared" ref="D607" si="845">SUM(D605:D606)</f>
        <v>0</v>
      </c>
      <c r="E607" s="34">
        <f t="shared" ref="E607" si="846">SUM(E605:E606)</f>
        <v>0</v>
      </c>
      <c r="F607" s="34">
        <f t="shared" ref="F607" si="847">SUM(F605:F606)</f>
        <v>0</v>
      </c>
      <c r="G607" s="34">
        <f t="shared" ref="G607" si="848">SUM(G605:G606)</f>
        <v>0</v>
      </c>
      <c r="H607" s="34">
        <f t="shared" ref="H607" si="849">SUM(H605:H606)</f>
        <v>0</v>
      </c>
      <c r="I607" s="34">
        <f t="shared" ref="I607" si="850">SUM(I605:I606)</f>
        <v>0</v>
      </c>
      <c r="J607" s="34">
        <f t="shared" ref="J607" si="851">SUM(J605:J606)</f>
        <v>0</v>
      </c>
      <c r="K607" s="34">
        <f t="shared" ref="K607" si="852">SUM(K605:K606)</f>
        <v>0</v>
      </c>
      <c r="L607" s="34">
        <f t="shared" ref="L607" si="853">SUM(L605:L606)</f>
        <v>0</v>
      </c>
      <c r="M607" s="34">
        <f t="shared" ref="M607" si="854">SUM(M605:M606)</f>
        <v>0</v>
      </c>
      <c r="N607" s="34">
        <f t="shared" ref="N607" si="855">SUM(N605:N606)</f>
        <v>0</v>
      </c>
      <c r="O607" s="34">
        <f t="shared" ref="O607" si="856">SUM(O605:O606)</f>
        <v>0</v>
      </c>
      <c r="P607" s="34">
        <f t="shared" ref="P607" si="857">SUM(P605:P606)</f>
        <v>0</v>
      </c>
      <c r="Q607" s="34">
        <f t="shared" ref="Q607" si="858">SUM(Q605:Q606)</f>
        <v>0</v>
      </c>
      <c r="R607" s="34">
        <f t="shared" ref="R607" si="859">SUM(R605:R606)</f>
        <v>0</v>
      </c>
      <c r="S607" s="34">
        <f t="shared" ref="S607" si="860">SUM(S605:S606)</f>
        <v>0</v>
      </c>
      <c r="T607" s="34">
        <f t="shared" ref="T607" si="861">SUM(T605:T606)</f>
        <v>0</v>
      </c>
      <c r="U607" s="34">
        <f t="shared" ref="U607" si="862">SUM(U605:U606)</f>
        <v>0</v>
      </c>
      <c r="V607" s="180">
        <f t="shared" si="842"/>
        <v>0</v>
      </c>
      <c r="W607" s="53">
        <f t="shared" si="843"/>
        <v>0</v>
      </c>
    </row>
    <row r="608" spans="1:23" s="81" customFormat="1">
      <c r="A608" s="134" t="s">
        <v>123</v>
      </c>
      <c r="B608" s="52">
        <v>0.96618357487922713</v>
      </c>
      <c r="C608" s="52">
        <v>0.93351070036640305</v>
      </c>
      <c r="D608" s="52">
        <v>0.90194270566802237</v>
      </c>
      <c r="E608" s="52">
        <v>0.87144222769857238</v>
      </c>
      <c r="F608" s="52">
        <v>0.84197316685852419</v>
      </c>
      <c r="G608" s="52">
        <v>0.81350064430775282</v>
      </c>
      <c r="H608" s="52">
        <v>0.78599096068381913</v>
      </c>
      <c r="I608" s="52">
        <v>0.75941155621625056</v>
      </c>
      <c r="J608" s="52">
        <v>0.73373097218961414</v>
      </c>
      <c r="K608" s="52">
        <v>0.70891881370977217</v>
      </c>
      <c r="L608" s="52">
        <v>0.68494571372924851</v>
      </c>
      <c r="M608" s="52">
        <v>0.66178329828912896</v>
      </c>
      <c r="N608" s="52">
        <v>0.63940415293635666</v>
      </c>
      <c r="O608" s="52">
        <v>0.61778179027667302</v>
      </c>
      <c r="P608" s="52">
        <v>0.59689061862480497</v>
      </c>
      <c r="Q608" s="52">
        <v>0.57670591171478747</v>
      </c>
      <c r="R608" s="52">
        <v>0.55720377943457733</v>
      </c>
      <c r="S608" s="52">
        <v>0.53836113955031628</v>
      </c>
      <c r="T608" s="52">
        <v>0.52015569038677911</v>
      </c>
      <c r="U608" s="52">
        <v>0.50256588443167061</v>
      </c>
      <c r="V608" s="180"/>
      <c r="W608" s="133"/>
    </row>
    <row r="609" spans="1:23">
      <c r="A609" s="50" t="s">
        <v>1069</v>
      </c>
      <c r="B609" s="34">
        <f t="shared" ref="B609:U609" si="863">B608*B607</f>
        <v>0</v>
      </c>
      <c r="C609" s="34">
        <f t="shared" si="863"/>
        <v>0</v>
      </c>
      <c r="D609" s="34">
        <f t="shared" si="863"/>
        <v>0</v>
      </c>
      <c r="E609" s="34">
        <f t="shared" si="863"/>
        <v>0</v>
      </c>
      <c r="F609" s="34">
        <f t="shared" si="863"/>
        <v>0</v>
      </c>
      <c r="G609" s="34">
        <f t="shared" si="863"/>
        <v>0</v>
      </c>
      <c r="H609" s="34">
        <f t="shared" si="863"/>
        <v>0</v>
      </c>
      <c r="I609" s="34">
        <f t="shared" si="863"/>
        <v>0</v>
      </c>
      <c r="J609" s="34">
        <f t="shared" si="863"/>
        <v>0</v>
      </c>
      <c r="K609" s="34">
        <f t="shared" si="863"/>
        <v>0</v>
      </c>
      <c r="L609" s="34">
        <f t="shared" si="863"/>
        <v>0</v>
      </c>
      <c r="M609" s="34">
        <f t="shared" si="863"/>
        <v>0</v>
      </c>
      <c r="N609" s="34">
        <f t="shared" si="863"/>
        <v>0</v>
      </c>
      <c r="O609" s="34">
        <f t="shared" si="863"/>
        <v>0</v>
      </c>
      <c r="P609" s="34">
        <f t="shared" si="863"/>
        <v>0</v>
      </c>
      <c r="Q609" s="34">
        <f t="shared" si="863"/>
        <v>0</v>
      </c>
      <c r="R609" s="34">
        <f t="shared" si="863"/>
        <v>0</v>
      </c>
      <c r="S609" s="34">
        <f t="shared" si="863"/>
        <v>0</v>
      </c>
      <c r="T609" s="34">
        <f t="shared" si="863"/>
        <v>0</v>
      </c>
      <c r="U609" s="34">
        <f t="shared" si="863"/>
        <v>0</v>
      </c>
      <c r="V609" s="182">
        <f>SUM(B609:U609)</f>
        <v>0</v>
      </c>
      <c r="W609" s="35"/>
    </row>
    <row r="610" spans="1:23">
      <c r="A610" s="131"/>
      <c r="B610" s="52"/>
      <c r="C610" s="52"/>
      <c r="D610" s="52"/>
      <c r="E610" s="52"/>
      <c r="F610" s="52"/>
      <c r="G610" s="52"/>
      <c r="H610" s="52"/>
      <c r="I610" s="52"/>
      <c r="J610" s="52"/>
      <c r="K610" s="52"/>
      <c r="L610" s="52"/>
      <c r="M610" s="52"/>
      <c r="N610" s="52"/>
      <c r="O610" s="52"/>
      <c r="P610" s="52"/>
      <c r="Q610" s="52"/>
      <c r="R610" s="52"/>
      <c r="S610" s="52"/>
      <c r="T610" s="52"/>
      <c r="U610" s="52"/>
      <c r="V610" s="180"/>
      <c r="W610" s="53"/>
    </row>
    <row r="611" spans="1:23">
      <c r="A611" s="36" t="s">
        <v>1301</v>
      </c>
      <c r="B611" s="52"/>
      <c r="C611" s="52"/>
      <c r="D611" s="52"/>
      <c r="E611" s="52"/>
      <c r="F611" s="52"/>
      <c r="G611" s="52"/>
      <c r="H611" s="52"/>
      <c r="I611" s="52"/>
      <c r="J611" s="52"/>
      <c r="K611" s="52"/>
      <c r="L611" s="52"/>
      <c r="M611" s="52"/>
      <c r="N611" s="52"/>
      <c r="O611" s="52"/>
      <c r="P611" s="52"/>
      <c r="Q611" s="52"/>
      <c r="R611" s="52"/>
      <c r="S611" s="52"/>
      <c r="T611" s="52"/>
      <c r="U611" s="52"/>
      <c r="V611" s="180"/>
      <c r="W611" s="53"/>
    </row>
    <row r="612" spans="1:23">
      <c r="A612" s="200" t="s">
        <v>679</v>
      </c>
      <c r="B612" s="52">
        <v>0</v>
      </c>
      <c r="C612" s="52">
        <v>0</v>
      </c>
      <c r="D612" s="52">
        <v>0</v>
      </c>
      <c r="E612" s="52">
        <v>0</v>
      </c>
      <c r="F612" s="52">
        <v>0</v>
      </c>
      <c r="G612" s="52">
        <v>0</v>
      </c>
      <c r="H612" s="52">
        <v>0</v>
      </c>
      <c r="I612" s="52">
        <v>0</v>
      </c>
      <c r="J612" s="52">
        <v>0</v>
      </c>
      <c r="K612" s="52">
        <v>0</v>
      </c>
      <c r="L612" s="52">
        <v>0</v>
      </c>
      <c r="M612" s="52">
        <v>0</v>
      </c>
      <c r="N612" s="52">
        <v>0</v>
      </c>
      <c r="O612" s="52">
        <v>0</v>
      </c>
      <c r="P612" s="52">
        <v>0</v>
      </c>
      <c r="Q612" s="52">
        <v>0</v>
      </c>
      <c r="R612" s="52">
        <v>0</v>
      </c>
      <c r="S612" s="52">
        <v>0</v>
      </c>
      <c r="T612" s="52">
        <v>0</v>
      </c>
      <c r="U612" s="52">
        <v>0</v>
      </c>
      <c r="V612" s="180">
        <f>SUM(B612:U612)</f>
        <v>0</v>
      </c>
      <c r="W612" s="53">
        <f>V612/20</f>
        <v>0</v>
      </c>
    </row>
    <row r="613" spans="1:23" s="3" customFormat="1">
      <c r="A613" s="200" t="s">
        <v>680</v>
      </c>
      <c r="B613" s="52">
        <f t="shared" ref="B613:U613" si="864">B37</f>
        <v>0</v>
      </c>
      <c r="C613" s="52">
        <f t="shared" si="864"/>
        <v>0</v>
      </c>
      <c r="D613" s="52">
        <f t="shared" si="864"/>
        <v>0</v>
      </c>
      <c r="E613" s="52">
        <f t="shared" si="864"/>
        <v>0</v>
      </c>
      <c r="F613" s="52">
        <f t="shared" si="864"/>
        <v>0</v>
      </c>
      <c r="G613" s="52">
        <f t="shared" si="864"/>
        <v>0</v>
      </c>
      <c r="H613" s="52">
        <f t="shared" si="864"/>
        <v>0</v>
      </c>
      <c r="I613" s="52">
        <f t="shared" si="864"/>
        <v>0</v>
      </c>
      <c r="J613" s="52">
        <f t="shared" si="864"/>
        <v>0</v>
      </c>
      <c r="K613" s="52">
        <f t="shared" si="864"/>
        <v>0</v>
      </c>
      <c r="L613" s="52">
        <f t="shared" si="864"/>
        <v>0</v>
      </c>
      <c r="M613" s="52">
        <f t="shared" si="864"/>
        <v>0</v>
      </c>
      <c r="N613" s="52">
        <f t="shared" si="864"/>
        <v>0</v>
      </c>
      <c r="O613" s="52">
        <f t="shared" si="864"/>
        <v>0</v>
      </c>
      <c r="P613" s="52">
        <f t="shared" si="864"/>
        <v>0</v>
      </c>
      <c r="Q613" s="52">
        <f t="shared" si="864"/>
        <v>0</v>
      </c>
      <c r="R613" s="52">
        <f t="shared" si="864"/>
        <v>0</v>
      </c>
      <c r="S613" s="52">
        <f t="shared" si="864"/>
        <v>0</v>
      </c>
      <c r="T613" s="52">
        <f t="shared" si="864"/>
        <v>0</v>
      </c>
      <c r="U613" s="52">
        <f t="shared" si="864"/>
        <v>0</v>
      </c>
      <c r="V613" s="180">
        <f t="shared" ref="V613:V614" si="865">SUM(B613:U613)</f>
        <v>0</v>
      </c>
      <c r="W613" s="53">
        <f t="shared" ref="W613:W614" si="866">V613/20</f>
        <v>0</v>
      </c>
    </row>
    <row r="614" spans="1:23" ht="13.5" customHeight="1">
      <c r="A614" s="49" t="s">
        <v>664</v>
      </c>
      <c r="B614" s="34">
        <f>SUM(B612:B613)</f>
        <v>0</v>
      </c>
      <c r="C614" s="34">
        <f t="shared" ref="C614" si="867">SUM(C612:C613)</f>
        <v>0</v>
      </c>
      <c r="D614" s="34">
        <f t="shared" ref="D614" si="868">SUM(D612:D613)</f>
        <v>0</v>
      </c>
      <c r="E614" s="34">
        <f t="shared" ref="E614" si="869">SUM(E612:E613)</f>
        <v>0</v>
      </c>
      <c r="F614" s="34">
        <f t="shared" ref="F614" si="870">SUM(F612:F613)</f>
        <v>0</v>
      </c>
      <c r="G614" s="34">
        <f t="shared" ref="G614" si="871">SUM(G612:G613)</f>
        <v>0</v>
      </c>
      <c r="H614" s="34">
        <f t="shared" ref="H614" si="872">SUM(H612:H613)</f>
        <v>0</v>
      </c>
      <c r="I614" s="34">
        <f t="shared" ref="I614" si="873">SUM(I612:I613)</f>
        <v>0</v>
      </c>
      <c r="J614" s="34">
        <f t="shared" ref="J614" si="874">SUM(J612:J613)</f>
        <v>0</v>
      </c>
      <c r="K614" s="34">
        <f t="shared" ref="K614" si="875">SUM(K612:K613)</f>
        <v>0</v>
      </c>
      <c r="L614" s="34">
        <f t="shared" ref="L614" si="876">SUM(L612:L613)</f>
        <v>0</v>
      </c>
      <c r="M614" s="34">
        <f t="shared" ref="M614" si="877">SUM(M612:M613)</f>
        <v>0</v>
      </c>
      <c r="N614" s="34">
        <f t="shared" ref="N614" si="878">SUM(N612:N613)</f>
        <v>0</v>
      </c>
      <c r="O614" s="34">
        <f t="shared" ref="O614" si="879">SUM(O612:O613)</f>
        <v>0</v>
      </c>
      <c r="P614" s="34">
        <f t="shared" ref="P614" si="880">SUM(P612:P613)</f>
        <v>0</v>
      </c>
      <c r="Q614" s="34">
        <f t="shared" ref="Q614" si="881">SUM(Q612:Q613)</f>
        <v>0</v>
      </c>
      <c r="R614" s="34">
        <f t="shared" ref="R614" si="882">SUM(R612:R613)</f>
        <v>0</v>
      </c>
      <c r="S614" s="34">
        <f t="shared" ref="S614" si="883">SUM(S612:S613)</f>
        <v>0</v>
      </c>
      <c r="T614" s="34">
        <f t="shared" ref="T614" si="884">SUM(T612:T613)</f>
        <v>0</v>
      </c>
      <c r="U614" s="34">
        <f t="shared" ref="U614" si="885">SUM(U612:U613)</f>
        <v>0</v>
      </c>
      <c r="V614" s="180">
        <f t="shared" si="865"/>
        <v>0</v>
      </c>
      <c r="W614" s="53">
        <f t="shared" si="866"/>
        <v>0</v>
      </c>
    </row>
    <row r="615" spans="1:23" s="81" customFormat="1">
      <c r="A615" s="134" t="s">
        <v>123</v>
      </c>
      <c r="B615" s="52">
        <v>0.96618357487922713</v>
      </c>
      <c r="C615" s="52">
        <v>0.93351070036640305</v>
      </c>
      <c r="D615" s="52">
        <v>0.90194270566802237</v>
      </c>
      <c r="E615" s="52">
        <v>0.87144222769857238</v>
      </c>
      <c r="F615" s="52">
        <v>0.84197316685852419</v>
      </c>
      <c r="G615" s="52">
        <v>0.81350064430775282</v>
      </c>
      <c r="H615" s="52">
        <v>0.78599096068381913</v>
      </c>
      <c r="I615" s="52">
        <v>0.75941155621625056</v>
      </c>
      <c r="J615" s="52">
        <v>0.73373097218961414</v>
      </c>
      <c r="K615" s="52">
        <v>0.70891881370977217</v>
      </c>
      <c r="L615" s="52">
        <v>0.68494571372924851</v>
      </c>
      <c r="M615" s="52">
        <v>0.66178329828912896</v>
      </c>
      <c r="N615" s="52">
        <v>0.63940415293635666</v>
      </c>
      <c r="O615" s="52">
        <v>0.61778179027667302</v>
      </c>
      <c r="P615" s="52">
        <v>0.59689061862480497</v>
      </c>
      <c r="Q615" s="52">
        <v>0.57670591171478747</v>
      </c>
      <c r="R615" s="52">
        <v>0.55720377943457733</v>
      </c>
      <c r="S615" s="52">
        <v>0.53836113955031628</v>
      </c>
      <c r="T615" s="52">
        <v>0.52015569038677911</v>
      </c>
      <c r="U615" s="52">
        <v>0.50256588443167061</v>
      </c>
      <c r="V615" s="180"/>
      <c r="W615" s="133"/>
    </row>
    <row r="616" spans="1:23" s="81" customFormat="1">
      <c r="A616" s="50" t="s">
        <v>1069</v>
      </c>
      <c r="B616" s="34">
        <f t="shared" ref="B616:U616" si="886">B615*B614</f>
        <v>0</v>
      </c>
      <c r="C616" s="34">
        <f t="shared" si="886"/>
        <v>0</v>
      </c>
      <c r="D616" s="34">
        <f t="shared" si="886"/>
        <v>0</v>
      </c>
      <c r="E616" s="34">
        <f t="shared" si="886"/>
        <v>0</v>
      </c>
      <c r="F616" s="34">
        <f t="shared" si="886"/>
        <v>0</v>
      </c>
      <c r="G616" s="34">
        <f t="shared" si="886"/>
        <v>0</v>
      </c>
      <c r="H616" s="34">
        <f t="shared" si="886"/>
        <v>0</v>
      </c>
      <c r="I616" s="34">
        <f t="shared" si="886"/>
        <v>0</v>
      </c>
      <c r="J616" s="34">
        <f t="shared" si="886"/>
        <v>0</v>
      </c>
      <c r="K616" s="34">
        <f t="shared" si="886"/>
        <v>0</v>
      </c>
      <c r="L616" s="34">
        <f t="shared" si="886"/>
        <v>0</v>
      </c>
      <c r="M616" s="34">
        <f t="shared" si="886"/>
        <v>0</v>
      </c>
      <c r="N616" s="34">
        <f t="shared" si="886"/>
        <v>0</v>
      </c>
      <c r="O616" s="34">
        <f t="shared" si="886"/>
        <v>0</v>
      </c>
      <c r="P616" s="34">
        <f t="shared" si="886"/>
        <v>0</v>
      </c>
      <c r="Q616" s="34">
        <f t="shared" si="886"/>
        <v>0</v>
      </c>
      <c r="R616" s="34">
        <f t="shared" si="886"/>
        <v>0</v>
      </c>
      <c r="S616" s="34">
        <f t="shared" si="886"/>
        <v>0</v>
      </c>
      <c r="T616" s="34">
        <f t="shared" si="886"/>
        <v>0</v>
      </c>
      <c r="U616" s="34">
        <f t="shared" si="886"/>
        <v>0</v>
      </c>
      <c r="V616" s="182">
        <f>SUM(B616:U616)</f>
        <v>0</v>
      </c>
      <c r="W616" s="35"/>
    </row>
    <row r="617" spans="1:23">
      <c r="A617" s="131"/>
      <c r="B617" s="52"/>
      <c r="C617" s="52"/>
      <c r="D617" s="52"/>
      <c r="E617" s="52"/>
      <c r="F617" s="52"/>
      <c r="G617" s="52"/>
      <c r="H617" s="52"/>
      <c r="I617" s="52"/>
      <c r="J617" s="52"/>
      <c r="K617" s="52"/>
      <c r="L617" s="52"/>
      <c r="M617" s="52"/>
      <c r="N617" s="52"/>
      <c r="O617" s="52"/>
      <c r="P617" s="52"/>
      <c r="Q617" s="52"/>
      <c r="R617" s="52"/>
      <c r="S617" s="52"/>
      <c r="T617" s="52"/>
      <c r="U617" s="52"/>
      <c r="V617" s="180"/>
      <c r="W617" s="53"/>
    </row>
    <row r="618" spans="1:23">
      <c r="A618" s="36" t="s">
        <v>1302</v>
      </c>
      <c r="B618" s="52"/>
      <c r="C618" s="52"/>
      <c r="D618" s="52"/>
      <c r="E618" s="52"/>
      <c r="F618" s="52"/>
      <c r="G618" s="52"/>
      <c r="H618" s="52"/>
      <c r="I618" s="52"/>
      <c r="J618" s="52"/>
      <c r="K618" s="52"/>
      <c r="L618" s="52"/>
      <c r="M618" s="52"/>
      <c r="N618" s="52"/>
      <c r="O618" s="52"/>
      <c r="P618" s="52"/>
      <c r="Q618" s="52"/>
      <c r="R618" s="52"/>
      <c r="S618" s="52"/>
      <c r="T618" s="52"/>
      <c r="U618" s="52"/>
      <c r="V618" s="180"/>
      <c r="W618" s="53"/>
    </row>
    <row r="619" spans="1:23">
      <c r="A619" s="200" t="s">
        <v>679</v>
      </c>
      <c r="B619" s="52">
        <v>0</v>
      </c>
      <c r="C619" s="52">
        <v>0</v>
      </c>
      <c r="D619" s="52">
        <v>0</v>
      </c>
      <c r="E619" s="52">
        <v>0</v>
      </c>
      <c r="F619" s="52">
        <v>0</v>
      </c>
      <c r="G619" s="52">
        <v>0</v>
      </c>
      <c r="H619" s="52">
        <v>0</v>
      </c>
      <c r="I619" s="52">
        <v>0</v>
      </c>
      <c r="J619" s="52">
        <v>0</v>
      </c>
      <c r="K619" s="52">
        <v>0</v>
      </c>
      <c r="L619" s="52">
        <v>0</v>
      </c>
      <c r="M619" s="52">
        <v>0</v>
      </c>
      <c r="N619" s="52">
        <v>0</v>
      </c>
      <c r="O619" s="52">
        <v>0</v>
      </c>
      <c r="P619" s="52">
        <v>0</v>
      </c>
      <c r="Q619" s="52">
        <v>0</v>
      </c>
      <c r="R619" s="52">
        <v>0</v>
      </c>
      <c r="S619" s="52">
        <v>0</v>
      </c>
      <c r="T619" s="52">
        <v>0</v>
      </c>
      <c r="U619" s="52">
        <v>0</v>
      </c>
      <c r="V619" s="180">
        <f>SUM(B619:U619)</f>
        <v>0</v>
      </c>
      <c r="W619" s="53">
        <f>V619/20</f>
        <v>0</v>
      </c>
    </row>
    <row r="620" spans="1:23" s="3" customFormat="1">
      <c r="A620" s="200" t="s">
        <v>680</v>
      </c>
      <c r="B620" s="52">
        <f t="shared" ref="B620:U620" si="887">B40</f>
        <v>0</v>
      </c>
      <c r="C620" s="52">
        <f t="shared" si="887"/>
        <v>0</v>
      </c>
      <c r="D620" s="52">
        <f t="shared" si="887"/>
        <v>0</v>
      </c>
      <c r="E620" s="52">
        <f t="shared" si="887"/>
        <v>0</v>
      </c>
      <c r="F620" s="52">
        <f t="shared" si="887"/>
        <v>0</v>
      </c>
      <c r="G620" s="52">
        <f t="shared" si="887"/>
        <v>0</v>
      </c>
      <c r="H620" s="52">
        <f t="shared" si="887"/>
        <v>0</v>
      </c>
      <c r="I620" s="52">
        <f t="shared" si="887"/>
        <v>0</v>
      </c>
      <c r="J620" s="52">
        <f t="shared" si="887"/>
        <v>0</v>
      </c>
      <c r="K620" s="52">
        <f t="shared" si="887"/>
        <v>0</v>
      </c>
      <c r="L620" s="52">
        <f t="shared" si="887"/>
        <v>0</v>
      </c>
      <c r="M620" s="52">
        <f t="shared" si="887"/>
        <v>0</v>
      </c>
      <c r="N620" s="52">
        <f t="shared" si="887"/>
        <v>0</v>
      </c>
      <c r="O620" s="52">
        <f t="shared" si="887"/>
        <v>0</v>
      </c>
      <c r="P620" s="52">
        <f t="shared" si="887"/>
        <v>0</v>
      </c>
      <c r="Q620" s="52">
        <f t="shared" si="887"/>
        <v>0</v>
      </c>
      <c r="R620" s="52">
        <f t="shared" si="887"/>
        <v>0</v>
      </c>
      <c r="S620" s="52">
        <f t="shared" si="887"/>
        <v>0</v>
      </c>
      <c r="T620" s="52">
        <f t="shared" si="887"/>
        <v>0</v>
      </c>
      <c r="U620" s="52">
        <f t="shared" si="887"/>
        <v>0</v>
      </c>
      <c r="V620" s="180">
        <f t="shared" ref="V620:V621" si="888">SUM(B620:U620)</f>
        <v>0</v>
      </c>
      <c r="W620" s="53">
        <f t="shared" ref="W620:W621" si="889">V620/20</f>
        <v>0</v>
      </c>
    </row>
    <row r="621" spans="1:23" ht="13.5" customHeight="1">
      <c r="A621" s="49" t="s">
        <v>664</v>
      </c>
      <c r="B621" s="34">
        <f>SUM(B619:B620)</f>
        <v>0</v>
      </c>
      <c r="C621" s="34">
        <f t="shared" ref="C621" si="890">SUM(C619:C620)</f>
        <v>0</v>
      </c>
      <c r="D621" s="34">
        <f t="shared" ref="D621" si="891">SUM(D619:D620)</f>
        <v>0</v>
      </c>
      <c r="E621" s="34">
        <f t="shared" ref="E621" si="892">SUM(E619:E620)</f>
        <v>0</v>
      </c>
      <c r="F621" s="34">
        <f t="shared" ref="F621" si="893">SUM(F619:F620)</f>
        <v>0</v>
      </c>
      <c r="G621" s="34">
        <f t="shared" ref="G621" si="894">SUM(G619:G620)</f>
        <v>0</v>
      </c>
      <c r="H621" s="34">
        <f t="shared" ref="H621" si="895">SUM(H619:H620)</f>
        <v>0</v>
      </c>
      <c r="I621" s="34">
        <f t="shared" ref="I621" si="896">SUM(I619:I620)</f>
        <v>0</v>
      </c>
      <c r="J621" s="34">
        <f t="shared" ref="J621" si="897">SUM(J619:J620)</f>
        <v>0</v>
      </c>
      <c r="K621" s="34">
        <f t="shared" ref="K621" si="898">SUM(K619:K620)</f>
        <v>0</v>
      </c>
      <c r="L621" s="34">
        <f t="shared" ref="L621" si="899">SUM(L619:L620)</f>
        <v>0</v>
      </c>
      <c r="M621" s="34">
        <f t="shared" ref="M621" si="900">SUM(M619:M620)</f>
        <v>0</v>
      </c>
      <c r="N621" s="34">
        <f t="shared" ref="N621" si="901">SUM(N619:N620)</f>
        <v>0</v>
      </c>
      <c r="O621" s="34">
        <f t="shared" ref="O621" si="902">SUM(O619:O620)</f>
        <v>0</v>
      </c>
      <c r="P621" s="34">
        <f t="shared" ref="P621" si="903">SUM(P619:P620)</f>
        <v>0</v>
      </c>
      <c r="Q621" s="34">
        <f t="shared" ref="Q621" si="904">SUM(Q619:Q620)</f>
        <v>0</v>
      </c>
      <c r="R621" s="34">
        <f t="shared" ref="R621" si="905">SUM(R619:R620)</f>
        <v>0</v>
      </c>
      <c r="S621" s="34">
        <f t="shared" ref="S621" si="906">SUM(S619:S620)</f>
        <v>0</v>
      </c>
      <c r="T621" s="34">
        <f t="shared" ref="T621" si="907">SUM(T619:T620)</f>
        <v>0</v>
      </c>
      <c r="U621" s="34">
        <f t="shared" ref="U621" si="908">SUM(U619:U620)</f>
        <v>0</v>
      </c>
      <c r="V621" s="180">
        <f t="shared" si="888"/>
        <v>0</v>
      </c>
      <c r="W621" s="53">
        <f t="shared" si="889"/>
        <v>0</v>
      </c>
    </row>
    <row r="622" spans="1:23" s="81" customFormat="1">
      <c r="A622" s="134" t="s">
        <v>123</v>
      </c>
      <c r="B622" s="52">
        <v>0.96618357487922713</v>
      </c>
      <c r="C622" s="52">
        <v>0.93351070036640305</v>
      </c>
      <c r="D622" s="52">
        <v>0.90194270566802237</v>
      </c>
      <c r="E622" s="52">
        <v>0.87144222769857238</v>
      </c>
      <c r="F622" s="52">
        <v>0.84197316685852419</v>
      </c>
      <c r="G622" s="52">
        <v>0.81350064430775282</v>
      </c>
      <c r="H622" s="52">
        <v>0.78599096068381913</v>
      </c>
      <c r="I622" s="52">
        <v>0.75941155621625056</v>
      </c>
      <c r="J622" s="52">
        <v>0.73373097218961414</v>
      </c>
      <c r="K622" s="52">
        <v>0.70891881370977217</v>
      </c>
      <c r="L622" s="52">
        <v>0.68494571372924851</v>
      </c>
      <c r="M622" s="52">
        <v>0.66178329828912896</v>
      </c>
      <c r="N622" s="52">
        <v>0.63940415293635666</v>
      </c>
      <c r="O622" s="52">
        <v>0.61778179027667302</v>
      </c>
      <c r="P622" s="52">
        <v>0.59689061862480497</v>
      </c>
      <c r="Q622" s="52">
        <v>0.57670591171478747</v>
      </c>
      <c r="R622" s="52">
        <v>0.55720377943457733</v>
      </c>
      <c r="S622" s="52">
        <v>0.53836113955031628</v>
      </c>
      <c r="T622" s="52">
        <v>0.52015569038677911</v>
      </c>
      <c r="U622" s="52">
        <v>0.50256588443167061</v>
      </c>
      <c r="V622" s="180"/>
      <c r="W622" s="133"/>
    </row>
    <row r="623" spans="1:23" s="81" customFormat="1" ht="13.5" thickBot="1">
      <c r="A623" s="50" t="s">
        <v>1069</v>
      </c>
      <c r="B623" s="38">
        <f t="shared" ref="B623:U623" si="909">B622*B621</f>
        <v>0</v>
      </c>
      <c r="C623" s="38">
        <f t="shared" si="909"/>
        <v>0</v>
      </c>
      <c r="D623" s="38">
        <f t="shared" si="909"/>
        <v>0</v>
      </c>
      <c r="E623" s="38">
        <f t="shared" si="909"/>
        <v>0</v>
      </c>
      <c r="F623" s="38">
        <f t="shared" si="909"/>
        <v>0</v>
      </c>
      <c r="G623" s="38">
        <f t="shared" si="909"/>
        <v>0</v>
      </c>
      <c r="H623" s="38">
        <f t="shared" si="909"/>
        <v>0</v>
      </c>
      <c r="I623" s="38">
        <f t="shared" si="909"/>
        <v>0</v>
      </c>
      <c r="J623" s="38">
        <f t="shared" si="909"/>
        <v>0</v>
      </c>
      <c r="K623" s="38">
        <f t="shared" si="909"/>
        <v>0</v>
      </c>
      <c r="L623" s="38">
        <f t="shared" si="909"/>
        <v>0</v>
      </c>
      <c r="M623" s="38">
        <f t="shared" si="909"/>
        <v>0</v>
      </c>
      <c r="N623" s="38">
        <f t="shared" si="909"/>
        <v>0</v>
      </c>
      <c r="O623" s="38">
        <f t="shared" si="909"/>
        <v>0</v>
      </c>
      <c r="P623" s="38">
        <f t="shared" si="909"/>
        <v>0</v>
      </c>
      <c r="Q623" s="38">
        <f t="shared" si="909"/>
        <v>0</v>
      </c>
      <c r="R623" s="38">
        <f t="shared" si="909"/>
        <v>0</v>
      </c>
      <c r="S623" s="38">
        <f t="shared" si="909"/>
        <v>0</v>
      </c>
      <c r="T623" s="38">
        <f t="shared" si="909"/>
        <v>0</v>
      </c>
      <c r="U623" s="38">
        <f t="shared" si="909"/>
        <v>0</v>
      </c>
      <c r="V623" s="183">
        <f>SUM(B623:U623)</f>
        <v>0</v>
      </c>
      <c r="W623" s="39"/>
    </row>
    <row r="624" spans="1:23">
      <c r="A624" s="274" t="s">
        <v>1043</v>
      </c>
      <c r="B624" s="188"/>
      <c r="C624" s="188"/>
      <c r="D624" s="188"/>
      <c r="E624" s="188"/>
      <c r="F624" s="188"/>
      <c r="G624" s="188"/>
      <c r="H624" s="188"/>
      <c r="I624" s="188"/>
      <c r="J624" s="188"/>
      <c r="K624" s="188"/>
      <c r="L624" s="188"/>
      <c r="M624" s="188"/>
      <c r="N624" s="188"/>
      <c r="O624" s="188"/>
      <c r="P624" s="188"/>
      <c r="Q624" s="188"/>
      <c r="R624" s="188"/>
      <c r="S624" s="188"/>
      <c r="T624" s="188"/>
      <c r="U624" s="188"/>
      <c r="V624" s="178"/>
      <c r="W624" s="130"/>
    </row>
    <row r="625" spans="1:23">
      <c r="A625" s="263"/>
      <c r="B625" s="100"/>
      <c r="C625" s="100"/>
      <c r="D625" s="100"/>
      <c r="E625" s="100"/>
      <c r="F625" s="100"/>
      <c r="G625" s="100"/>
      <c r="H625" s="100"/>
      <c r="I625" s="100"/>
      <c r="J625" s="100"/>
      <c r="K625" s="100"/>
      <c r="L625" s="100"/>
      <c r="M625" s="100"/>
      <c r="N625" s="100"/>
      <c r="O625" s="100"/>
      <c r="P625" s="100"/>
      <c r="Q625" s="100"/>
      <c r="R625" s="100"/>
      <c r="S625" s="100"/>
      <c r="T625" s="100"/>
      <c r="U625" s="100"/>
      <c r="V625" s="179"/>
      <c r="W625" s="140"/>
    </row>
    <row r="626" spans="1:23">
      <c r="A626" s="131" t="s">
        <v>1126</v>
      </c>
      <c r="B626" s="100"/>
      <c r="C626" s="100"/>
      <c r="D626" s="100"/>
      <c r="E626" s="100"/>
      <c r="F626" s="100"/>
      <c r="G626" s="100"/>
      <c r="H626" s="100"/>
      <c r="I626" s="100"/>
      <c r="J626" s="100"/>
      <c r="K626" s="100"/>
      <c r="L626" s="100"/>
      <c r="M626" s="100"/>
      <c r="N626" s="100"/>
      <c r="O626" s="100"/>
      <c r="P626" s="100"/>
      <c r="Q626" s="100"/>
      <c r="R626" s="100"/>
      <c r="S626" s="100"/>
      <c r="T626" s="100"/>
      <c r="U626" s="100"/>
      <c r="V626" s="179"/>
      <c r="W626" s="140"/>
    </row>
    <row r="627" spans="1:23">
      <c r="A627" s="200" t="s">
        <v>679</v>
      </c>
      <c r="B627" s="52">
        <v>0</v>
      </c>
      <c r="C627" s="52">
        <v>0</v>
      </c>
      <c r="D627" s="52">
        <v>0</v>
      </c>
      <c r="E627" s="52">
        <v>0</v>
      </c>
      <c r="F627" s="52">
        <v>0</v>
      </c>
      <c r="G627" s="52">
        <v>0</v>
      </c>
      <c r="H627" s="52">
        <v>0</v>
      </c>
      <c r="I627" s="52">
        <v>0</v>
      </c>
      <c r="J627" s="52">
        <v>0</v>
      </c>
      <c r="K627" s="52">
        <v>0</v>
      </c>
      <c r="L627" s="52">
        <v>0</v>
      </c>
      <c r="M627" s="52">
        <v>0</v>
      </c>
      <c r="N627" s="52">
        <v>0</v>
      </c>
      <c r="O627" s="52">
        <v>0</v>
      </c>
      <c r="P627" s="52">
        <v>0</v>
      </c>
      <c r="Q627" s="52">
        <v>0</v>
      </c>
      <c r="R627" s="52">
        <v>0</v>
      </c>
      <c r="S627" s="52">
        <v>0</v>
      </c>
      <c r="T627" s="52">
        <v>0</v>
      </c>
      <c r="U627" s="52">
        <v>0</v>
      </c>
      <c r="V627" s="180">
        <f>SUM(B627:U627)</f>
        <v>0</v>
      </c>
      <c r="W627" s="53">
        <f>V627/20</f>
        <v>0</v>
      </c>
    </row>
    <row r="628" spans="1:23" s="3" customFormat="1">
      <c r="A628" s="200" t="s">
        <v>680</v>
      </c>
      <c r="B628" s="52">
        <f>('Scenario 2 Assumptions'!$B$279*('Scenario 2 Assumptions'!$B$342*0.5)/20)+B193</f>
        <v>1.5187500000000001E-3</v>
      </c>
      <c r="C628" s="52">
        <f>('Scenario 2 Assumptions'!$B$279*('Scenario 2 Assumptions'!$B$342*0.5)/20)+C193</f>
        <v>1.5187500000000001E-3</v>
      </c>
      <c r="D628" s="52">
        <f>('Scenario 2 Assumptions'!$B$279*('Scenario 2 Assumptions'!$B$342*0.5)/20)+D193</f>
        <v>1.5187500000000001E-3</v>
      </c>
      <c r="E628" s="52">
        <f>('Scenario 2 Assumptions'!$B$279*('Scenario 2 Assumptions'!$B$342*0.5)/20)+E193</f>
        <v>1.5187500000000001E-3</v>
      </c>
      <c r="F628" s="52">
        <f>('Scenario 2 Assumptions'!$B$279*('Scenario 2 Assumptions'!$B$342*0.5)/20)+F193</f>
        <v>1.5187500000000001E-3</v>
      </c>
      <c r="G628" s="52">
        <f>('Scenario 2 Assumptions'!$B$279*('Scenario 2 Assumptions'!$B$342*0.5)/20)+G193</f>
        <v>1.5187500000000001E-3</v>
      </c>
      <c r="H628" s="52">
        <f>('Scenario 2 Assumptions'!$B$279*('Scenario 2 Assumptions'!$B$342*0.5)/20)+H193</f>
        <v>1.5187500000000001E-3</v>
      </c>
      <c r="I628" s="52">
        <f>('Scenario 2 Assumptions'!$B$279*('Scenario 2 Assumptions'!$B$342*0.5)/20)+I193</f>
        <v>1.5187500000000001E-3</v>
      </c>
      <c r="J628" s="52">
        <f>('Scenario 2 Assumptions'!$B$279*('Scenario 2 Assumptions'!$B$342*0.5)/20)+J193</f>
        <v>1.5187500000000001E-3</v>
      </c>
      <c r="K628" s="52">
        <f>('Scenario 2 Assumptions'!$B$279*('Scenario 2 Assumptions'!$B$342*0.5)/20)+K193</f>
        <v>1.5187500000000001E-3</v>
      </c>
      <c r="L628" s="52">
        <f>('Scenario 2 Assumptions'!$B$279*('Scenario 2 Assumptions'!$B$342*0.5)/20)+L193</f>
        <v>1.5187500000000001E-3</v>
      </c>
      <c r="M628" s="52">
        <f>('Scenario 2 Assumptions'!$B$279*('Scenario 2 Assumptions'!$B$342*0.5)/20)+M193</f>
        <v>1.5187500000000001E-3</v>
      </c>
      <c r="N628" s="52">
        <f>('Scenario 2 Assumptions'!$B$279*('Scenario 2 Assumptions'!$B$342*0.5)/20)+N193</f>
        <v>1.5187500000000001E-3</v>
      </c>
      <c r="O628" s="52">
        <f>('Scenario 2 Assumptions'!$B$279*('Scenario 2 Assumptions'!$B$342*0.5)/20)+O193</f>
        <v>1.5187500000000001E-3</v>
      </c>
      <c r="P628" s="52">
        <f>('Scenario 2 Assumptions'!$B$279*('Scenario 2 Assumptions'!$B$342*0.5)/20)+P193</f>
        <v>1.5187500000000001E-3</v>
      </c>
      <c r="Q628" s="52">
        <f>('Scenario 2 Assumptions'!$B$279*('Scenario 2 Assumptions'!$B$342*0.5)/20)+Q193</f>
        <v>1.5187500000000001E-3</v>
      </c>
      <c r="R628" s="52">
        <f>('Scenario 2 Assumptions'!$B$279*('Scenario 2 Assumptions'!$B$342*0.5)/20)+R193</f>
        <v>1.5187500000000001E-3</v>
      </c>
      <c r="S628" s="52">
        <f>('Scenario 2 Assumptions'!$B$279*('Scenario 2 Assumptions'!$B$342*0.5)/20)+S193</f>
        <v>1.5187500000000001E-3</v>
      </c>
      <c r="T628" s="52">
        <f>('Scenario 2 Assumptions'!$B$279*('Scenario 2 Assumptions'!$B$342*0.5)/20)+T193</f>
        <v>1.5187500000000001E-3</v>
      </c>
      <c r="U628" s="52">
        <f>('Scenario 2 Assumptions'!$B$279*('Scenario 2 Assumptions'!$B$342*0.5)/20)+U193</f>
        <v>1.5187500000000001E-3</v>
      </c>
      <c r="V628" s="180">
        <f t="shared" ref="V628:V629" si="910">SUM(B628:U628)</f>
        <v>3.0374999999999992E-2</v>
      </c>
      <c r="W628" s="53">
        <f t="shared" ref="W628:W629" si="911">V628/20</f>
        <v>1.5187499999999997E-3</v>
      </c>
    </row>
    <row r="629" spans="1:23" ht="13.5" customHeight="1">
      <c r="A629" s="49" t="s">
        <v>664</v>
      </c>
      <c r="B629" s="34">
        <f>SUM(B627:B628)</f>
        <v>1.5187500000000001E-3</v>
      </c>
      <c r="C629" s="34">
        <f t="shared" ref="C629" si="912">SUM(C627:C628)</f>
        <v>1.5187500000000001E-3</v>
      </c>
      <c r="D629" s="34">
        <f t="shared" ref="D629" si="913">SUM(D627:D628)</f>
        <v>1.5187500000000001E-3</v>
      </c>
      <c r="E629" s="34">
        <f t="shared" ref="E629" si="914">SUM(E627:E628)</f>
        <v>1.5187500000000001E-3</v>
      </c>
      <c r="F629" s="34">
        <f t="shared" ref="F629" si="915">SUM(F627:F628)</f>
        <v>1.5187500000000001E-3</v>
      </c>
      <c r="G629" s="34">
        <f t="shared" ref="G629" si="916">SUM(G627:G628)</f>
        <v>1.5187500000000001E-3</v>
      </c>
      <c r="H629" s="34">
        <f t="shared" ref="H629" si="917">SUM(H627:H628)</f>
        <v>1.5187500000000001E-3</v>
      </c>
      <c r="I629" s="34">
        <f t="shared" ref="I629" si="918">SUM(I627:I628)</f>
        <v>1.5187500000000001E-3</v>
      </c>
      <c r="J629" s="34">
        <f t="shared" ref="J629" si="919">SUM(J627:J628)</f>
        <v>1.5187500000000001E-3</v>
      </c>
      <c r="K629" s="34">
        <f t="shared" ref="K629" si="920">SUM(K627:K628)</f>
        <v>1.5187500000000001E-3</v>
      </c>
      <c r="L629" s="34">
        <f t="shared" ref="L629" si="921">SUM(L627:L628)</f>
        <v>1.5187500000000001E-3</v>
      </c>
      <c r="M629" s="34">
        <f t="shared" ref="M629" si="922">SUM(M627:M628)</f>
        <v>1.5187500000000001E-3</v>
      </c>
      <c r="N629" s="34">
        <f t="shared" ref="N629" si="923">SUM(N627:N628)</f>
        <v>1.5187500000000001E-3</v>
      </c>
      <c r="O629" s="34">
        <f t="shared" ref="O629" si="924">SUM(O627:O628)</f>
        <v>1.5187500000000001E-3</v>
      </c>
      <c r="P629" s="34">
        <f t="shared" ref="P629" si="925">SUM(P627:P628)</f>
        <v>1.5187500000000001E-3</v>
      </c>
      <c r="Q629" s="34">
        <f t="shared" ref="Q629" si="926">SUM(Q627:Q628)</f>
        <v>1.5187500000000001E-3</v>
      </c>
      <c r="R629" s="34">
        <f t="shared" ref="R629" si="927">SUM(R627:R628)</f>
        <v>1.5187500000000001E-3</v>
      </c>
      <c r="S629" s="34">
        <f t="shared" ref="S629" si="928">SUM(S627:S628)</f>
        <v>1.5187500000000001E-3</v>
      </c>
      <c r="T629" s="34">
        <f t="shared" ref="T629" si="929">SUM(T627:T628)</f>
        <v>1.5187500000000001E-3</v>
      </c>
      <c r="U629" s="34">
        <f t="shared" ref="U629" si="930">SUM(U627:U628)</f>
        <v>1.5187500000000001E-3</v>
      </c>
      <c r="V629" s="180">
        <f t="shared" si="910"/>
        <v>3.0374999999999992E-2</v>
      </c>
      <c r="W629" s="53">
        <f t="shared" si="911"/>
        <v>1.5187499999999997E-3</v>
      </c>
    </row>
    <row r="630" spans="1:23" s="81" customFormat="1">
      <c r="A630" s="134" t="s">
        <v>123</v>
      </c>
      <c r="B630" s="52">
        <v>0.96618357487922713</v>
      </c>
      <c r="C630" s="52">
        <v>0.93351070036640305</v>
      </c>
      <c r="D630" s="52">
        <v>0.90194270566802237</v>
      </c>
      <c r="E630" s="52">
        <v>0.87144222769857238</v>
      </c>
      <c r="F630" s="52">
        <v>0.84197316685852419</v>
      </c>
      <c r="G630" s="52">
        <v>0.81350064430775282</v>
      </c>
      <c r="H630" s="52">
        <v>0.78599096068381913</v>
      </c>
      <c r="I630" s="52">
        <v>0.75941155621625056</v>
      </c>
      <c r="J630" s="52">
        <v>0.73373097218961414</v>
      </c>
      <c r="K630" s="52">
        <v>0.70891881370977217</v>
      </c>
      <c r="L630" s="52">
        <v>0.68494571372924851</v>
      </c>
      <c r="M630" s="52">
        <v>0.66178329828912896</v>
      </c>
      <c r="N630" s="52">
        <v>0.63940415293635666</v>
      </c>
      <c r="O630" s="52">
        <v>0.61778179027667302</v>
      </c>
      <c r="P630" s="52">
        <v>0.59689061862480497</v>
      </c>
      <c r="Q630" s="52">
        <v>0.57670591171478747</v>
      </c>
      <c r="R630" s="52">
        <v>0.55720377943457733</v>
      </c>
      <c r="S630" s="52">
        <v>0.53836113955031628</v>
      </c>
      <c r="T630" s="52">
        <v>0.52015569038677911</v>
      </c>
      <c r="U630" s="52">
        <v>0.50256588443167061</v>
      </c>
      <c r="V630" s="180"/>
      <c r="W630" s="133"/>
    </row>
    <row r="631" spans="1:23" s="81" customFormat="1">
      <c r="A631" s="50" t="s">
        <v>1069</v>
      </c>
      <c r="B631" s="34">
        <f t="shared" ref="B631:U631" si="931">B630*B629</f>
        <v>1.4673913043478264E-3</v>
      </c>
      <c r="C631" s="34">
        <f t="shared" si="931"/>
        <v>1.4177693761814748E-3</v>
      </c>
      <c r="D631" s="34">
        <f t="shared" si="931"/>
        <v>1.3698254842333091E-3</v>
      </c>
      <c r="E631" s="34">
        <f t="shared" si="931"/>
        <v>1.323502883317207E-3</v>
      </c>
      <c r="F631" s="34">
        <f t="shared" si="931"/>
        <v>1.2787467471663838E-3</v>
      </c>
      <c r="G631" s="34">
        <f t="shared" si="931"/>
        <v>1.2355041035423996E-3</v>
      </c>
      <c r="H631" s="34">
        <f t="shared" si="931"/>
        <v>1.1937237715385503E-3</v>
      </c>
      <c r="I631" s="34">
        <f t="shared" si="931"/>
        <v>1.1533563010034306E-3</v>
      </c>
      <c r="J631" s="34">
        <f t="shared" si="931"/>
        <v>1.1143539140129766E-3</v>
      </c>
      <c r="K631" s="34">
        <f t="shared" si="931"/>
        <v>1.0766704483217166E-3</v>
      </c>
      <c r="L631" s="34">
        <f t="shared" si="931"/>
        <v>1.0402613027262963E-3</v>
      </c>
      <c r="M631" s="34">
        <f t="shared" si="931"/>
        <v>1.0050833842766148E-3</v>
      </c>
      <c r="N631" s="34">
        <f t="shared" si="931"/>
        <v>9.7109505727209174E-4</v>
      </c>
      <c r="O631" s="34">
        <f t="shared" si="931"/>
        <v>9.3825609398269722E-4</v>
      </c>
      <c r="P631" s="34">
        <f t="shared" si="931"/>
        <v>9.0652762703642264E-4</v>
      </c>
      <c r="Q631" s="34">
        <f t="shared" si="931"/>
        <v>8.7587210341683356E-4</v>
      </c>
      <c r="R631" s="34">
        <f t="shared" si="931"/>
        <v>8.4625324001626439E-4</v>
      </c>
      <c r="S631" s="34">
        <f t="shared" si="931"/>
        <v>8.1763598069204291E-4</v>
      </c>
      <c r="T631" s="34">
        <f t="shared" si="931"/>
        <v>7.8998645477492086E-4</v>
      </c>
      <c r="U631" s="34">
        <f t="shared" si="931"/>
        <v>7.6327193698059982E-4</v>
      </c>
      <c r="V631" s="182">
        <f>SUM(B631:U631)</f>
        <v>2.1585087514840062E-2</v>
      </c>
      <c r="W631" s="35"/>
    </row>
    <row r="632" spans="1:23">
      <c r="A632" s="49"/>
      <c r="B632" s="34"/>
      <c r="C632" s="34"/>
      <c r="D632" s="34"/>
      <c r="E632" s="34"/>
      <c r="F632" s="34"/>
      <c r="G632" s="34"/>
      <c r="H632" s="34"/>
      <c r="I632" s="34"/>
      <c r="J632" s="34"/>
      <c r="K632" s="34"/>
      <c r="L632" s="34"/>
      <c r="M632" s="34"/>
      <c r="N632" s="34"/>
      <c r="O632" s="34"/>
      <c r="P632" s="34"/>
      <c r="Q632" s="34"/>
      <c r="R632" s="34"/>
      <c r="S632" s="34"/>
      <c r="T632" s="34"/>
      <c r="U632" s="34"/>
      <c r="V632" s="182"/>
      <c r="W632" s="35"/>
    </row>
    <row r="633" spans="1:23">
      <c r="A633" s="131" t="s">
        <v>1127</v>
      </c>
      <c r="B633" s="100"/>
      <c r="C633" s="100"/>
      <c r="D633" s="100"/>
      <c r="E633" s="100"/>
      <c r="F633" s="100"/>
      <c r="G633" s="100"/>
      <c r="H633" s="100"/>
      <c r="I633" s="100"/>
      <c r="J633" s="100"/>
      <c r="K633" s="100"/>
      <c r="L633" s="100"/>
      <c r="M633" s="100"/>
      <c r="N633" s="100"/>
      <c r="O633" s="100"/>
      <c r="P633" s="100"/>
      <c r="Q633" s="100"/>
      <c r="R633" s="100"/>
      <c r="S633" s="100"/>
      <c r="T633" s="100"/>
      <c r="U633" s="100"/>
      <c r="V633" s="179"/>
      <c r="W633" s="140"/>
    </row>
    <row r="634" spans="1:23">
      <c r="A634" s="200" t="s">
        <v>679</v>
      </c>
      <c r="B634" s="52">
        <v>0</v>
      </c>
      <c r="C634" s="52">
        <v>0</v>
      </c>
      <c r="D634" s="52">
        <v>0</v>
      </c>
      <c r="E634" s="52">
        <v>0</v>
      </c>
      <c r="F634" s="52">
        <v>0</v>
      </c>
      <c r="G634" s="52">
        <v>0</v>
      </c>
      <c r="H634" s="52">
        <v>0</v>
      </c>
      <c r="I634" s="52">
        <v>0</v>
      </c>
      <c r="J634" s="52">
        <v>0</v>
      </c>
      <c r="K634" s="52">
        <v>0</v>
      </c>
      <c r="L634" s="52">
        <v>0</v>
      </c>
      <c r="M634" s="52">
        <v>0</v>
      </c>
      <c r="N634" s="52">
        <v>0</v>
      </c>
      <c r="O634" s="52">
        <v>0</v>
      </c>
      <c r="P634" s="52">
        <v>0</v>
      </c>
      <c r="Q634" s="52">
        <v>0</v>
      </c>
      <c r="R634" s="52">
        <v>0</v>
      </c>
      <c r="S634" s="52">
        <v>0</v>
      </c>
      <c r="T634" s="52">
        <v>0</v>
      </c>
      <c r="U634" s="52">
        <v>0</v>
      </c>
      <c r="V634" s="180">
        <f>SUM(B634:U634)</f>
        <v>0</v>
      </c>
      <c r="W634" s="53">
        <f>V634/20</f>
        <v>0</v>
      </c>
    </row>
    <row r="635" spans="1:23" s="3" customFormat="1">
      <c r="A635" s="200" t="s">
        <v>680</v>
      </c>
      <c r="B635" s="52">
        <f>('Scenario 2 Assumptions'!$B$279*('Scenario 2 Assumptions'!$B$343*0.5)/20)+B194</f>
        <v>1.18125E-3</v>
      </c>
      <c r="C635" s="52">
        <f>('Scenario 2 Assumptions'!$B$279*('Scenario 2 Assumptions'!$B$343*0.5)/20)+C194</f>
        <v>1.18125E-3</v>
      </c>
      <c r="D635" s="52">
        <f>('Scenario 2 Assumptions'!$B$279*('Scenario 2 Assumptions'!$B$343*0.5)/20)+D194</f>
        <v>1.18125E-3</v>
      </c>
      <c r="E635" s="52">
        <f>('Scenario 2 Assumptions'!$B$279*('Scenario 2 Assumptions'!$B$343*0.5)/20)+E194</f>
        <v>1.18125E-3</v>
      </c>
      <c r="F635" s="52">
        <f>('Scenario 2 Assumptions'!$B$279*('Scenario 2 Assumptions'!$B$343*0.5)/20)+F194</f>
        <v>1.18125E-3</v>
      </c>
      <c r="G635" s="52">
        <f>('Scenario 2 Assumptions'!$B$279*('Scenario 2 Assumptions'!$B$343*0.5)/20)+G194</f>
        <v>1.18125E-3</v>
      </c>
      <c r="H635" s="52">
        <f>('Scenario 2 Assumptions'!$B$279*('Scenario 2 Assumptions'!$B$343*0.5)/20)+H194</f>
        <v>1.18125E-3</v>
      </c>
      <c r="I635" s="52">
        <f>('Scenario 2 Assumptions'!$B$279*('Scenario 2 Assumptions'!$B$343*0.5)/20)+I194</f>
        <v>1.18125E-3</v>
      </c>
      <c r="J635" s="52">
        <f>('Scenario 2 Assumptions'!$B$279*('Scenario 2 Assumptions'!$B$343*0.5)/20)+J194</f>
        <v>1.18125E-3</v>
      </c>
      <c r="K635" s="52">
        <f>('Scenario 2 Assumptions'!$B$279*('Scenario 2 Assumptions'!$B$343*0.5)/20)+K194</f>
        <v>1.18125E-3</v>
      </c>
      <c r="L635" s="52">
        <f>('Scenario 2 Assumptions'!$B$279*('Scenario 2 Assumptions'!$B$343*0.5)/20)+L194</f>
        <v>1.18125E-3</v>
      </c>
      <c r="M635" s="52">
        <f>('Scenario 2 Assumptions'!$B$279*('Scenario 2 Assumptions'!$B$343*0.5)/20)+M194</f>
        <v>1.18125E-3</v>
      </c>
      <c r="N635" s="52">
        <f>('Scenario 2 Assumptions'!$B$279*('Scenario 2 Assumptions'!$B$343*0.5)/20)+N194</f>
        <v>1.18125E-3</v>
      </c>
      <c r="O635" s="52">
        <f>('Scenario 2 Assumptions'!$B$279*('Scenario 2 Assumptions'!$B$343*0.5)/20)+O194</f>
        <v>1.18125E-3</v>
      </c>
      <c r="P635" s="52">
        <f>('Scenario 2 Assumptions'!$B$279*('Scenario 2 Assumptions'!$B$343*0.5)/20)+P194</f>
        <v>1.18125E-3</v>
      </c>
      <c r="Q635" s="52">
        <f>('Scenario 2 Assumptions'!$B$279*('Scenario 2 Assumptions'!$B$343*0.5)/20)+Q194</f>
        <v>1.18125E-3</v>
      </c>
      <c r="R635" s="52">
        <f>('Scenario 2 Assumptions'!$B$279*('Scenario 2 Assumptions'!$B$343*0.5)/20)+R194</f>
        <v>1.18125E-3</v>
      </c>
      <c r="S635" s="52">
        <f>('Scenario 2 Assumptions'!$B$279*('Scenario 2 Assumptions'!$B$343*0.5)/20)+S194</f>
        <v>1.18125E-3</v>
      </c>
      <c r="T635" s="52">
        <f>('Scenario 2 Assumptions'!$B$279*('Scenario 2 Assumptions'!$B$343*0.5)/20)+T194</f>
        <v>1.18125E-3</v>
      </c>
      <c r="U635" s="52">
        <f>('Scenario 2 Assumptions'!$B$279*('Scenario 2 Assumptions'!$B$343*0.5)/20)+U194</f>
        <v>1.18125E-3</v>
      </c>
      <c r="V635" s="180">
        <f t="shared" ref="V635:V636" si="932">SUM(B635:U635)</f>
        <v>2.3625000000000007E-2</v>
      </c>
      <c r="W635" s="53">
        <f t="shared" ref="W635:W636" si="933">V635/20</f>
        <v>1.1812500000000004E-3</v>
      </c>
    </row>
    <row r="636" spans="1:23" ht="13.5" customHeight="1">
      <c r="A636" s="49" t="s">
        <v>664</v>
      </c>
      <c r="B636" s="34">
        <f>SUM(B634:B635)</f>
        <v>1.18125E-3</v>
      </c>
      <c r="C636" s="34">
        <f t="shared" ref="C636" si="934">SUM(C634:C635)</f>
        <v>1.18125E-3</v>
      </c>
      <c r="D636" s="34">
        <f t="shared" ref="D636" si="935">SUM(D634:D635)</f>
        <v>1.18125E-3</v>
      </c>
      <c r="E636" s="34">
        <f t="shared" ref="E636" si="936">SUM(E634:E635)</f>
        <v>1.18125E-3</v>
      </c>
      <c r="F636" s="34">
        <f t="shared" ref="F636" si="937">SUM(F634:F635)</f>
        <v>1.18125E-3</v>
      </c>
      <c r="G636" s="34">
        <f t="shared" ref="G636" si="938">SUM(G634:G635)</f>
        <v>1.18125E-3</v>
      </c>
      <c r="H636" s="34">
        <f t="shared" ref="H636" si="939">SUM(H634:H635)</f>
        <v>1.18125E-3</v>
      </c>
      <c r="I636" s="34">
        <f t="shared" ref="I636" si="940">SUM(I634:I635)</f>
        <v>1.18125E-3</v>
      </c>
      <c r="J636" s="34">
        <f t="shared" ref="J636" si="941">SUM(J634:J635)</f>
        <v>1.18125E-3</v>
      </c>
      <c r="K636" s="34">
        <f t="shared" ref="K636" si="942">SUM(K634:K635)</f>
        <v>1.18125E-3</v>
      </c>
      <c r="L636" s="34">
        <f t="shared" ref="L636" si="943">SUM(L634:L635)</f>
        <v>1.18125E-3</v>
      </c>
      <c r="M636" s="34">
        <f t="shared" ref="M636" si="944">SUM(M634:M635)</f>
        <v>1.18125E-3</v>
      </c>
      <c r="N636" s="34">
        <f t="shared" ref="N636" si="945">SUM(N634:N635)</f>
        <v>1.18125E-3</v>
      </c>
      <c r="O636" s="34">
        <f t="shared" ref="O636" si="946">SUM(O634:O635)</f>
        <v>1.18125E-3</v>
      </c>
      <c r="P636" s="34">
        <f t="shared" ref="P636" si="947">SUM(P634:P635)</f>
        <v>1.18125E-3</v>
      </c>
      <c r="Q636" s="34">
        <f t="shared" ref="Q636" si="948">SUM(Q634:Q635)</f>
        <v>1.18125E-3</v>
      </c>
      <c r="R636" s="34">
        <f t="shared" ref="R636" si="949">SUM(R634:R635)</f>
        <v>1.18125E-3</v>
      </c>
      <c r="S636" s="34">
        <f t="shared" ref="S636" si="950">SUM(S634:S635)</f>
        <v>1.18125E-3</v>
      </c>
      <c r="T636" s="34">
        <f t="shared" ref="T636" si="951">SUM(T634:T635)</f>
        <v>1.18125E-3</v>
      </c>
      <c r="U636" s="34">
        <f t="shared" ref="U636" si="952">SUM(U634:U635)</f>
        <v>1.18125E-3</v>
      </c>
      <c r="V636" s="180">
        <f t="shared" si="932"/>
        <v>2.3625000000000007E-2</v>
      </c>
      <c r="W636" s="53">
        <f t="shared" si="933"/>
        <v>1.1812500000000004E-3</v>
      </c>
    </row>
    <row r="637" spans="1:23" s="81" customFormat="1">
      <c r="A637" s="134" t="s">
        <v>123</v>
      </c>
      <c r="B637" s="52">
        <v>0.96618357487922713</v>
      </c>
      <c r="C637" s="52">
        <v>0.93351070036640305</v>
      </c>
      <c r="D637" s="52">
        <v>0.90194270566802237</v>
      </c>
      <c r="E637" s="52">
        <v>0.87144222769857238</v>
      </c>
      <c r="F637" s="52">
        <v>0.84197316685852419</v>
      </c>
      <c r="G637" s="52">
        <v>0.81350064430775282</v>
      </c>
      <c r="H637" s="52">
        <v>0.78599096068381913</v>
      </c>
      <c r="I637" s="52">
        <v>0.75941155621625056</v>
      </c>
      <c r="J637" s="52">
        <v>0.73373097218961414</v>
      </c>
      <c r="K637" s="52">
        <v>0.70891881370977217</v>
      </c>
      <c r="L637" s="52">
        <v>0.68494571372924851</v>
      </c>
      <c r="M637" s="52">
        <v>0.66178329828912896</v>
      </c>
      <c r="N637" s="52">
        <v>0.63940415293635666</v>
      </c>
      <c r="O637" s="52">
        <v>0.61778179027667302</v>
      </c>
      <c r="P637" s="52">
        <v>0.59689061862480497</v>
      </c>
      <c r="Q637" s="52">
        <v>0.57670591171478747</v>
      </c>
      <c r="R637" s="52">
        <v>0.55720377943457733</v>
      </c>
      <c r="S637" s="52">
        <v>0.53836113955031628</v>
      </c>
      <c r="T637" s="52">
        <v>0.52015569038677911</v>
      </c>
      <c r="U637" s="52">
        <v>0.50256588443167061</v>
      </c>
      <c r="V637" s="180"/>
      <c r="W637" s="133"/>
    </row>
    <row r="638" spans="1:23" s="81" customFormat="1">
      <c r="A638" s="50" t="s">
        <v>1069</v>
      </c>
      <c r="B638" s="34">
        <f t="shared" ref="B638:U638" si="953">B637*B636</f>
        <v>1.141304347826087E-3</v>
      </c>
      <c r="C638" s="34">
        <f t="shared" si="953"/>
        <v>1.1027095148078137E-3</v>
      </c>
      <c r="D638" s="34">
        <f t="shared" si="953"/>
        <v>1.0654198210703514E-3</v>
      </c>
      <c r="E638" s="34">
        <f t="shared" si="953"/>
        <v>1.0293911314689385E-3</v>
      </c>
      <c r="F638" s="34">
        <f t="shared" si="953"/>
        <v>9.9458080335163165E-4</v>
      </c>
      <c r="G638" s="34">
        <f t="shared" si="953"/>
        <v>9.6094763608853306E-4</v>
      </c>
      <c r="H638" s="34">
        <f t="shared" si="953"/>
        <v>9.2845182230776133E-4</v>
      </c>
      <c r="I638" s="34">
        <f t="shared" si="953"/>
        <v>8.97054900780446E-4</v>
      </c>
      <c r="J638" s="34">
        <f t="shared" si="953"/>
        <v>8.6671971089898167E-4</v>
      </c>
      <c r="K638" s="34">
        <f t="shared" si="953"/>
        <v>8.3741034869466843E-4</v>
      </c>
      <c r="L638" s="34">
        <f t="shared" si="953"/>
        <v>8.090921243426748E-4</v>
      </c>
      <c r="M638" s="34">
        <f t="shared" si="953"/>
        <v>7.8173152110403354E-4</v>
      </c>
      <c r="N638" s="34">
        <f t="shared" si="953"/>
        <v>7.5529615565607128E-4</v>
      </c>
      <c r="O638" s="34">
        <f t="shared" si="953"/>
        <v>7.2975473976432E-4</v>
      </c>
      <c r="P638" s="34">
        <f t="shared" si="953"/>
        <v>7.0507704325055084E-4</v>
      </c>
      <c r="Q638" s="34">
        <f t="shared" si="953"/>
        <v>6.8123385821309266E-4</v>
      </c>
      <c r="R638" s="34">
        <f t="shared" si="953"/>
        <v>6.5819696445709448E-4</v>
      </c>
      <c r="S638" s="34">
        <f t="shared" si="953"/>
        <v>6.3593909609381116E-4</v>
      </c>
      <c r="T638" s="34">
        <f t="shared" si="953"/>
        <v>6.1443390926938283E-4</v>
      </c>
      <c r="U638" s="34">
        <f t="shared" si="953"/>
        <v>5.9365595098491094E-4</v>
      </c>
      <c r="V638" s="182">
        <f>SUM(B638:U638)</f>
        <v>1.6788401400431155E-2</v>
      </c>
      <c r="W638" s="35"/>
    </row>
    <row r="639" spans="1:23">
      <c r="A639" s="49"/>
      <c r="B639" s="34"/>
      <c r="C639" s="34"/>
      <c r="D639" s="34"/>
      <c r="E639" s="34"/>
      <c r="F639" s="34"/>
      <c r="G639" s="34"/>
      <c r="H639" s="34"/>
      <c r="I639" s="34"/>
      <c r="J639" s="34"/>
      <c r="K639" s="34"/>
      <c r="L639" s="34"/>
      <c r="M639" s="34"/>
      <c r="N639" s="34"/>
      <c r="O639" s="34"/>
      <c r="P639" s="34"/>
      <c r="Q639" s="34"/>
      <c r="R639" s="34"/>
      <c r="S639" s="34"/>
      <c r="T639" s="34"/>
      <c r="U639" s="34"/>
      <c r="V639" s="182"/>
      <c r="W639" s="35"/>
    </row>
    <row r="640" spans="1:23">
      <c r="A640" s="131" t="s">
        <v>1011</v>
      </c>
      <c r="B640" s="100"/>
      <c r="C640" s="100"/>
      <c r="D640" s="100"/>
      <c r="E640" s="100"/>
      <c r="F640" s="100"/>
      <c r="G640" s="100"/>
      <c r="H640" s="100"/>
      <c r="I640" s="100"/>
      <c r="J640" s="100"/>
      <c r="K640" s="100"/>
      <c r="L640" s="100"/>
      <c r="M640" s="100"/>
      <c r="N640" s="100"/>
      <c r="O640" s="100"/>
      <c r="P640" s="100"/>
      <c r="Q640" s="100"/>
      <c r="R640" s="100"/>
      <c r="S640" s="100"/>
      <c r="T640" s="100"/>
      <c r="U640" s="100"/>
      <c r="V640" s="179"/>
      <c r="W640" s="140"/>
    </row>
    <row r="641" spans="1:23">
      <c r="A641" s="200" t="s">
        <v>679</v>
      </c>
      <c r="B641" s="52">
        <f t="shared" ref="B641:U641" si="954">B183</f>
        <v>2.7E-2</v>
      </c>
      <c r="C641" s="52">
        <f t="shared" si="954"/>
        <v>0</v>
      </c>
      <c r="D641" s="52">
        <f t="shared" si="954"/>
        <v>0</v>
      </c>
      <c r="E641" s="52">
        <f t="shared" si="954"/>
        <v>2.7E-2</v>
      </c>
      <c r="F641" s="52">
        <f t="shared" si="954"/>
        <v>0</v>
      </c>
      <c r="G641" s="52">
        <f t="shared" si="954"/>
        <v>0</v>
      </c>
      <c r="H641" s="52">
        <f t="shared" si="954"/>
        <v>2.7E-2</v>
      </c>
      <c r="I641" s="52">
        <f t="shared" si="954"/>
        <v>0</v>
      </c>
      <c r="J641" s="52">
        <f t="shared" si="954"/>
        <v>0</v>
      </c>
      <c r="K641" s="52">
        <f t="shared" si="954"/>
        <v>2.7E-2</v>
      </c>
      <c r="L641" s="52">
        <f t="shared" si="954"/>
        <v>0</v>
      </c>
      <c r="M641" s="52">
        <f t="shared" si="954"/>
        <v>0</v>
      </c>
      <c r="N641" s="52">
        <f t="shared" si="954"/>
        <v>2.7E-2</v>
      </c>
      <c r="O641" s="52">
        <f t="shared" si="954"/>
        <v>0</v>
      </c>
      <c r="P641" s="52">
        <f t="shared" si="954"/>
        <v>0</v>
      </c>
      <c r="Q641" s="52">
        <f t="shared" si="954"/>
        <v>2.7E-2</v>
      </c>
      <c r="R641" s="52">
        <f t="shared" si="954"/>
        <v>0</v>
      </c>
      <c r="S641" s="52">
        <f t="shared" si="954"/>
        <v>0</v>
      </c>
      <c r="T641" s="52">
        <f t="shared" si="954"/>
        <v>2.7E-2</v>
      </c>
      <c r="U641" s="52">
        <f t="shared" si="954"/>
        <v>0</v>
      </c>
      <c r="V641" s="180">
        <f>SUM(B641:U641)</f>
        <v>0.189</v>
      </c>
      <c r="W641" s="53">
        <f>V641/20</f>
        <v>9.4500000000000001E-3</v>
      </c>
    </row>
    <row r="642" spans="1:23" s="3" customFormat="1">
      <c r="A642" s="200" t="s">
        <v>680</v>
      </c>
      <c r="B642" s="52">
        <v>0</v>
      </c>
      <c r="C642" s="52">
        <v>0</v>
      </c>
      <c r="D642" s="52">
        <v>0</v>
      </c>
      <c r="E642" s="52">
        <v>0</v>
      </c>
      <c r="F642" s="52">
        <v>0</v>
      </c>
      <c r="G642" s="52">
        <v>0</v>
      </c>
      <c r="H642" s="52">
        <v>0</v>
      </c>
      <c r="I642" s="52">
        <v>0</v>
      </c>
      <c r="J642" s="52">
        <v>0</v>
      </c>
      <c r="K642" s="52">
        <v>0</v>
      </c>
      <c r="L642" s="52">
        <v>0</v>
      </c>
      <c r="M642" s="52">
        <v>0</v>
      </c>
      <c r="N642" s="52">
        <v>0</v>
      </c>
      <c r="O642" s="52">
        <v>0</v>
      </c>
      <c r="P642" s="52">
        <v>0</v>
      </c>
      <c r="Q642" s="52">
        <v>0</v>
      </c>
      <c r="R642" s="52">
        <v>0</v>
      </c>
      <c r="S642" s="52">
        <v>0</v>
      </c>
      <c r="T642" s="52">
        <v>0</v>
      </c>
      <c r="U642" s="52">
        <v>0</v>
      </c>
      <c r="V642" s="180">
        <f t="shared" ref="V642:V643" si="955">SUM(B642:U642)</f>
        <v>0</v>
      </c>
      <c r="W642" s="53">
        <f t="shared" ref="W642:W643" si="956">V642/20</f>
        <v>0</v>
      </c>
    </row>
    <row r="643" spans="1:23" ht="13.5" customHeight="1">
      <c r="A643" s="49" t="s">
        <v>664</v>
      </c>
      <c r="B643" s="34">
        <f>SUM(B641:B642)</f>
        <v>2.7E-2</v>
      </c>
      <c r="C643" s="34">
        <f t="shared" ref="C643" si="957">SUM(C641:C642)</f>
        <v>0</v>
      </c>
      <c r="D643" s="34">
        <f t="shared" ref="D643" si="958">SUM(D641:D642)</f>
        <v>0</v>
      </c>
      <c r="E643" s="34">
        <f t="shared" ref="E643" si="959">SUM(E641:E642)</f>
        <v>2.7E-2</v>
      </c>
      <c r="F643" s="34">
        <f t="shared" ref="F643" si="960">SUM(F641:F642)</f>
        <v>0</v>
      </c>
      <c r="G643" s="34">
        <f t="shared" ref="G643" si="961">SUM(G641:G642)</f>
        <v>0</v>
      </c>
      <c r="H643" s="34">
        <f t="shared" ref="H643" si="962">SUM(H641:H642)</f>
        <v>2.7E-2</v>
      </c>
      <c r="I643" s="34">
        <f t="shared" ref="I643" si="963">SUM(I641:I642)</f>
        <v>0</v>
      </c>
      <c r="J643" s="34">
        <f t="shared" ref="J643" si="964">SUM(J641:J642)</f>
        <v>0</v>
      </c>
      <c r="K643" s="34">
        <f t="shared" ref="K643" si="965">SUM(K641:K642)</f>
        <v>2.7E-2</v>
      </c>
      <c r="L643" s="34">
        <f t="shared" ref="L643" si="966">SUM(L641:L642)</f>
        <v>0</v>
      </c>
      <c r="M643" s="34">
        <f t="shared" ref="M643" si="967">SUM(M641:M642)</f>
        <v>0</v>
      </c>
      <c r="N643" s="34">
        <f t="shared" ref="N643" si="968">SUM(N641:N642)</f>
        <v>2.7E-2</v>
      </c>
      <c r="O643" s="34">
        <f t="shared" ref="O643" si="969">SUM(O641:O642)</f>
        <v>0</v>
      </c>
      <c r="P643" s="34">
        <f t="shared" ref="P643" si="970">SUM(P641:P642)</f>
        <v>0</v>
      </c>
      <c r="Q643" s="34">
        <f t="shared" ref="Q643" si="971">SUM(Q641:Q642)</f>
        <v>2.7E-2</v>
      </c>
      <c r="R643" s="34">
        <f t="shared" ref="R643" si="972">SUM(R641:R642)</f>
        <v>0</v>
      </c>
      <c r="S643" s="34">
        <f t="shared" ref="S643" si="973">SUM(S641:S642)</f>
        <v>0</v>
      </c>
      <c r="T643" s="34">
        <f t="shared" ref="T643" si="974">SUM(T641:T642)</f>
        <v>2.7E-2</v>
      </c>
      <c r="U643" s="34">
        <f t="shared" ref="U643" si="975">SUM(U641:U642)</f>
        <v>0</v>
      </c>
      <c r="V643" s="180">
        <f t="shared" si="955"/>
        <v>0.189</v>
      </c>
      <c r="W643" s="53">
        <f t="shared" si="956"/>
        <v>9.4500000000000001E-3</v>
      </c>
    </row>
    <row r="644" spans="1:23" s="81" customFormat="1">
      <c r="A644" s="134" t="s">
        <v>123</v>
      </c>
      <c r="B644" s="52">
        <v>0.96618357487922713</v>
      </c>
      <c r="C644" s="52">
        <v>0.93351070036640305</v>
      </c>
      <c r="D644" s="52">
        <v>0.90194270566802237</v>
      </c>
      <c r="E644" s="52">
        <v>0.87144222769857238</v>
      </c>
      <c r="F644" s="52">
        <v>0.84197316685852419</v>
      </c>
      <c r="G644" s="52">
        <v>0.81350064430775282</v>
      </c>
      <c r="H644" s="52">
        <v>0.78599096068381913</v>
      </c>
      <c r="I644" s="52">
        <v>0.75941155621625056</v>
      </c>
      <c r="J644" s="52">
        <v>0.73373097218961414</v>
      </c>
      <c r="K644" s="52">
        <v>0.70891881370977217</v>
      </c>
      <c r="L644" s="52">
        <v>0.68494571372924851</v>
      </c>
      <c r="M644" s="52">
        <v>0.66178329828912896</v>
      </c>
      <c r="N644" s="52">
        <v>0.63940415293635666</v>
      </c>
      <c r="O644" s="52">
        <v>0.61778179027667302</v>
      </c>
      <c r="P644" s="52">
        <v>0.59689061862480497</v>
      </c>
      <c r="Q644" s="52">
        <v>0.57670591171478747</v>
      </c>
      <c r="R644" s="52">
        <v>0.55720377943457733</v>
      </c>
      <c r="S644" s="52">
        <v>0.53836113955031628</v>
      </c>
      <c r="T644" s="52">
        <v>0.52015569038677911</v>
      </c>
      <c r="U644" s="52">
        <v>0.50256588443167061</v>
      </c>
      <c r="V644" s="180"/>
      <c r="W644" s="133"/>
    </row>
    <row r="645" spans="1:23" s="81" customFormat="1">
      <c r="A645" s="50" t="s">
        <v>1069</v>
      </c>
      <c r="B645" s="34">
        <f t="shared" ref="B645:U645" si="976">B644*B643</f>
        <v>2.6086956521739132E-2</v>
      </c>
      <c r="C645" s="34">
        <f t="shared" si="976"/>
        <v>0</v>
      </c>
      <c r="D645" s="34">
        <f t="shared" si="976"/>
        <v>0</v>
      </c>
      <c r="E645" s="34">
        <f t="shared" si="976"/>
        <v>2.3528940147861454E-2</v>
      </c>
      <c r="F645" s="34">
        <f t="shared" si="976"/>
        <v>0</v>
      </c>
      <c r="G645" s="34">
        <f t="shared" si="976"/>
        <v>0</v>
      </c>
      <c r="H645" s="34">
        <f t="shared" si="976"/>
        <v>2.1221755938463115E-2</v>
      </c>
      <c r="I645" s="34">
        <f t="shared" si="976"/>
        <v>0</v>
      </c>
      <c r="J645" s="34">
        <f t="shared" si="976"/>
        <v>0</v>
      </c>
      <c r="K645" s="34">
        <f t="shared" si="976"/>
        <v>1.9140807970163848E-2</v>
      </c>
      <c r="L645" s="34">
        <f t="shared" si="976"/>
        <v>0</v>
      </c>
      <c r="M645" s="34">
        <f t="shared" si="976"/>
        <v>0</v>
      </c>
      <c r="N645" s="34">
        <f t="shared" si="976"/>
        <v>1.726391212928163E-2</v>
      </c>
      <c r="O645" s="34">
        <f t="shared" si="976"/>
        <v>0</v>
      </c>
      <c r="P645" s="34">
        <f t="shared" si="976"/>
        <v>0</v>
      </c>
      <c r="Q645" s="34">
        <f t="shared" si="976"/>
        <v>1.5571059616299262E-2</v>
      </c>
      <c r="R645" s="34">
        <f t="shared" si="976"/>
        <v>0</v>
      </c>
      <c r="S645" s="34">
        <f t="shared" si="976"/>
        <v>0</v>
      </c>
      <c r="T645" s="34">
        <f t="shared" si="976"/>
        <v>1.4044203640443035E-2</v>
      </c>
      <c r="U645" s="34">
        <f t="shared" si="976"/>
        <v>0</v>
      </c>
      <c r="V645" s="182">
        <f>SUM(B645:U645)</f>
        <v>0.13685763596425149</v>
      </c>
      <c r="W645" s="35"/>
    </row>
    <row r="646" spans="1:23">
      <c r="A646" s="49"/>
      <c r="B646" s="34"/>
      <c r="C646" s="34"/>
      <c r="D646" s="34"/>
      <c r="E646" s="34"/>
      <c r="F646" s="34"/>
      <c r="G646" s="34"/>
      <c r="H646" s="34"/>
      <c r="I646" s="34"/>
      <c r="J646" s="34"/>
      <c r="K646" s="34"/>
      <c r="L646" s="34"/>
      <c r="M646" s="34"/>
      <c r="N646" s="34"/>
      <c r="O646" s="34"/>
      <c r="P646" s="34"/>
      <c r="Q646" s="34"/>
      <c r="R646" s="34"/>
      <c r="S646" s="34"/>
      <c r="T646" s="34"/>
      <c r="U646" s="34"/>
      <c r="V646" s="182"/>
      <c r="W646" s="35"/>
    </row>
    <row r="647" spans="1:23">
      <c r="A647" s="131" t="s">
        <v>1128</v>
      </c>
      <c r="B647" s="100"/>
      <c r="C647" s="100"/>
      <c r="D647" s="100"/>
      <c r="E647" s="100"/>
      <c r="F647" s="100"/>
      <c r="G647" s="100"/>
      <c r="H647" s="100"/>
      <c r="I647" s="100"/>
      <c r="J647" s="100"/>
      <c r="K647" s="100"/>
      <c r="L647" s="100"/>
      <c r="M647" s="100"/>
      <c r="N647" s="100"/>
      <c r="O647" s="100"/>
      <c r="P647" s="100"/>
      <c r="Q647" s="100"/>
      <c r="R647" s="100"/>
      <c r="S647" s="100"/>
      <c r="T647" s="100"/>
      <c r="U647" s="100"/>
      <c r="V647" s="179"/>
      <c r="W647" s="140"/>
    </row>
    <row r="648" spans="1:23">
      <c r="A648" s="200" t="s">
        <v>679</v>
      </c>
      <c r="B648" s="52">
        <v>0</v>
      </c>
      <c r="C648" s="52">
        <v>0</v>
      </c>
      <c r="D648" s="52">
        <v>0</v>
      </c>
      <c r="E648" s="52">
        <v>0</v>
      </c>
      <c r="F648" s="52">
        <v>0</v>
      </c>
      <c r="G648" s="52">
        <v>0</v>
      </c>
      <c r="H648" s="52">
        <v>0</v>
      </c>
      <c r="I648" s="52">
        <v>0</v>
      </c>
      <c r="J648" s="52">
        <v>0</v>
      </c>
      <c r="K648" s="52">
        <v>0</v>
      </c>
      <c r="L648" s="52">
        <v>0</v>
      </c>
      <c r="M648" s="52">
        <v>0</v>
      </c>
      <c r="N648" s="52">
        <v>0</v>
      </c>
      <c r="O648" s="52">
        <v>0</v>
      </c>
      <c r="P648" s="52">
        <v>0</v>
      </c>
      <c r="Q648" s="52">
        <v>0</v>
      </c>
      <c r="R648" s="52">
        <v>0</v>
      </c>
      <c r="S648" s="52">
        <v>0</v>
      </c>
      <c r="T648" s="52">
        <v>0</v>
      </c>
      <c r="U648" s="52">
        <v>0</v>
      </c>
      <c r="V648" s="180">
        <f>SUM(B648:U648)</f>
        <v>0</v>
      </c>
      <c r="W648" s="53">
        <f>V648/20</f>
        <v>0</v>
      </c>
    </row>
    <row r="649" spans="1:23" s="3" customFormat="1">
      <c r="A649" s="200" t="s">
        <v>680</v>
      </c>
      <c r="B649" s="52">
        <f>('Scenario 2 Assumptions'!$B$279*('Scenario 2 Assumptions'!$B$347*0.5)/20)+B195</f>
        <v>3.54375E-3</v>
      </c>
      <c r="C649" s="52">
        <f>('Scenario 2 Assumptions'!$B$279*('Scenario 2 Assumptions'!$B$347*0.5)/20)+C195</f>
        <v>3.54375E-3</v>
      </c>
      <c r="D649" s="52">
        <f>('Scenario 2 Assumptions'!$B$279*('Scenario 2 Assumptions'!$B$347*0.5)/20)+D195</f>
        <v>3.54375E-3</v>
      </c>
      <c r="E649" s="52">
        <f>('Scenario 2 Assumptions'!$B$279*('Scenario 2 Assumptions'!$B$347*0.5)/20)+E195</f>
        <v>3.54375E-3</v>
      </c>
      <c r="F649" s="52">
        <f>('Scenario 2 Assumptions'!$B$279*('Scenario 2 Assumptions'!$B$347*0.5)/20)+F195</f>
        <v>3.54375E-3</v>
      </c>
      <c r="G649" s="52">
        <f>('Scenario 2 Assumptions'!$B$279*('Scenario 2 Assumptions'!$B$347*0.5)/20)+G195</f>
        <v>3.54375E-3</v>
      </c>
      <c r="H649" s="52">
        <f>('Scenario 2 Assumptions'!$B$279*('Scenario 2 Assumptions'!$B$347*0.5)/20)+H195</f>
        <v>3.54375E-3</v>
      </c>
      <c r="I649" s="52">
        <f>('Scenario 2 Assumptions'!$B$279*('Scenario 2 Assumptions'!$B$347*0.5)/20)+I195</f>
        <v>3.54375E-3</v>
      </c>
      <c r="J649" s="52">
        <f>('Scenario 2 Assumptions'!$B$279*('Scenario 2 Assumptions'!$B$347*0.5)/20)+J195</f>
        <v>3.54375E-3</v>
      </c>
      <c r="K649" s="52">
        <f>('Scenario 2 Assumptions'!$B$279*('Scenario 2 Assumptions'!$B$347*0.5)/20)+K195</f>
        <v>3.54375E-3</v>
      </c>
      <c r="L649" s="52">
        <f>('Scenario 2 Assumptions'!$B$279*('Scenario 2 Assumptions'!$B$347*0.5)/20)+L195</f>
        <v>3.54375E-3</v>
      </c>
      <c r="M649" s="52">
        <f>('Scenario 2 Assumptions'!$B$279*('Scenario 2 Assumptions'!$B$347*0.5)/20)+M195</f>
        <v>3.54375E-3</v>
      </c>
      <c r="N649" s="52">
        <f>('Scenario 2 Assumptions'!$B$279*('Scenario 2 Assumptions'!$B$347*0.5)/20)+N195</f>
        <v>3.54375E-3</v>
      </c>
      <c r="O649" s="52">
        <f>('Scenario 2 Assumptions'!$B$279*('Scenario 2 Assumptions'!$B$347*0.5)/20)+O195</f>
        <v>3.54375E-3</v>
      </c>
      <c r="P649" s="52">
        <f>('Scenario 2 Assumptions'!$B$279*('Scenario 2 Assumptions'!$B$347*0.5)/20)+P195</f>
        <v>3.54375E-3</v>
      </c>
      <c r="Q649" s="52">
        <f>('Scenario 2 Assumptions'!$B$279*('Scenario 2 Assumptions'!$B$347*0.5)/20)+Q195</f>
        <v>3.54375E-3</v>
      </c>
      <c r="R649" s="52">
        <f>('Scenario 2 Assumptions'!$B$279*('Scenario 2 Assumptions'!$B$347*0.5)/20)+R195</f>
        <v>3.54375E-3</v>
      </c>
      <c r="S649" s="52">
        <f>('Scenario 2 Assumptions'!$B$279*('Scenario 2 Assumptions'!$B$347*0.5)/20)+S195</f>
        <v>3.54375E-3</v>
      </c>
      <c r="T649" s="52">
        <f>('Scenario 2 Assumptions'!$B$279*('Scenario 2 Assumptions'!$B$347*0.5)/20)+T195</f>
        <v>3.54375E-3</v>
      </c>
      <c r="U649" s="52">
        <f>('Scenario 2 Assumptions'!$B$279*('Scenario 2 Assumptions'!$B$347*0.5)/20)+U195</f>
        <v>3.54375E-3</v>
      </c>
      <c r="V649" s="180">
        <f t="shared" ref="V649:V650" si="977">SUM(B649:U649)</f>
        <v>7.087499999999998E-2</v>
      </c>
      <c r="W649" s="53">
        <f t="shared" ref="W649:W650" si="978">V649/20</f>
        <v>3.5437499999999992E-3</v>
      </c>
    </row>
    <row r="650" spans="1:23" ht="13.5" customHeight="1">
      <c r="A650" s="49" t="s">
        <v>664</v>
      </c>
      <c r="B650" s="34">
        <f>SUM(B648:B649)</f>
        <v>3.54375E-3</v>
      </c>
      <c r="C650" s="34">
        <f t="shared" ref="C650" si="979">SUM(C648:C649)</f>
        <v>3.54375E-3</v>
      </c>
      <c r="D650" s="34">
        <f t="shared" ref="D650" si="980">SUM(D648:D649)</f>
        <v>3.54375E-3</v>
      </c>
      <c r="E650" s="34">
        <f t="shared" ref="E650" si="981">SUM(E648:E649)</f>
        <v>3.54375E-3</v>
      </c>
      <c r="F650" s="34">
        <f t="shared" ref="F650" si="982">SUM(F648:F649)</f>
        <v>3.54375E-3</v>
      </c>
      <c r="G650" s="34">
        <f t="shared" ref="G650" si="983">SUM(G648:G649)</f>
        <v>3.54375E-3</v>
      </c>
      <c r="H650" s="34">
        <f t="shared" ref="H650" si="984">SUM(H648:H649)</f>
        <v>3.54375E-3</v>
      </c>
      <c r="I650" s="34">
        <f t="shared" ref="I650" si="985">SUM(I648:I649)</f>
        <v>3.54375E-3</v>
      </c>
      <c r="J650" s="34">
        <f t="shared" ref="J650" si="986">SUM(J648:J649)</f>
        <v>3.54375E-3</v>
      </c>
      <c r="K650" s="34">
        <f t="shared" ref="K650" si="987">SUM(K648:K649)</f>
        <v>3.54375E-3</v>
      </c>
      <c r="L650" s="34">
        <f t="shared" ref="L650" si="988">SUM(L648:L649)</f>
        <v>3.54375E-3</v>
      </c>
      <c r="M650" s="34">
        <f t="shared" ref="M650" si="989">SUM(M648:M649)</f>
        <v>3.54375E-3</v>
      </c>
      <c r="N650" s="34">
        <f t="shared" ref="N650" si="990">SUM(N648:N649)</f>
        <v>3.54375E-3</v>
      </c>
      <c r="O650" s="34">
        <f t="shared" ref="O650" si="991">SUM(O648:O649)</f>
        <v>3.54375E-3</v>
      </c>
      <c r="P650" s="34">
        <f t="shared" ref="P650" si="992">SUM(P648:P649)</f>
        <v>3.54375E-3</v>
      </c>
      <c r="Q650" s="34">
        <f t="shared" ref="Q650" si="993">SUM(Q648:Q649)</f>
        <v>3.54375E-3</v>
      </c>
      <c r="R650" s="34">
        <f t="shared" ref="R650" si="994">SUM(R648:R649)</f>
        <v>3.54375E-3</v>
      </c>
      <c r="S650" s="34">
        <f t="shared" ref="S650" si="995">SUM(S648:S649)</f>
        <v>3.54375E-3</v>
      </c>
      <c r="T650" s="34">
        <f t="shared" ref="T650" si="996">SUM(T648:T649)</f>
        <v>3.54375E-3</v>
      </c>
      <c r="U650" s="34">
        <f t="shared" ref="U650" si="997">SUM(U648:U649)</f>
        <v>3.54375E-3</v>
      </c>
      <c r="V650" s="180">
        <f t="shared" si="977"/>
        <v>7.087499999999998E-2</v>
      </c>
      <c r="W650" s="53">
        <f t="shared" si="978"/>
        <v>3.5437499999999992E-3</v>
      </c>
    </row>
    <row r="651" spans="1:23" s="81" customFormat="1">
      <c r="A651" s="134" t="s">
        <v>123</v>
      </c>
      <c r="B651" s="52">
        <v>0.96618357487922713</v>
      </c>
      <c r="C651" s="52">
        <v>0.93351070036640305</v>
      </c>
      <c r="D651" s="52">
        <v>0.90194270566802237</v>
      </c>
      <c r="E651" s="52">
        <v>0.87144222769857238</v>
      </c>
      <c r="F651" s="52">
        <v>0.84197316685852419</v>
      </c>
      <c r="G651" s="52">
        <v>0.81350064430775282</v>
      </c>
      <c r="H651" s="52">
        <v>0.78599096068381913</v>
      </c>
      <c r="I651" s="52">
        <v>0.75941155621625056</v>
      </c>
      <c r="J651" s="52">
        <v>0.73373097218961414</v>
      </c>
      <c r="K651" s="52">
        <v>0.70891881370977217</v>
      </c>
      <c r="L651" s="52">
        <v>0.68494571372924851</v>
      </c>
      <c r="M651" s="52">
        <v>0.66178329828912896</v>
      </c>
      <c r="N651" s="52">
        <v>0.63940415293635666</v>
      </c>
      <c r="O651" s="52">
        <v>0.61778179027667302</v>
      </c>
      <c r="P651" s="52">
        <v>0.59689061862480497</v>
      </c>
      <c r="Q651" s="52">
        <v>0.57670591171478747</v>
      </c>
      <c r="R651" s="52">
        <v>0.55720377943457733</v>
      </c>
      <c r="S651" s="52">
        <v>0.53836113955031628</v>
      </c>
      <c r="T651" s="52">
        <v>0.52015569038677911</v>
      </c>
      <c r="U651" s="52">
        <v>0.50256588443167061</v>
      </c>
      <c r="V651" s="180"/>
      <c r="W651" s="133"/>
    </row>
    <row r="652" spans="1:23" s="81" customFormat="1">
      <c r="A652" s="50" t="s">
        <v>1069</v>
      </c>
      <c r="B652" s="34">
        <f t="shared" ref="B652:U652" si="998">B651*B650</f>
        <v>3.4239130434782611E-3</v>
      </c>
      <c r="C652" s="34">
        <f t="shared" si="998"/>
        <v>3.3081285444234408E-3</v>
      </c>
      <c r="D652" s="34">
        <f t="shared" si="998"/>
        <v>3.1962594632110545E-3</v>
      </c>
      <c r="E652" s="34">
        <f t="shared" si="998"/>
        <v>3.0881733944068158E-3</v>
      </c>
      <c r="F652" s="34">
        <f t="shared" si="998"/>
        <v>2.9837424100548952E-3</v>
      </c>
      <c r="G652" s="34">
        <f t="shared" si="998"/>
        <v>2.8828429082655991E-3</v>
      </c>
      <c r="H652" s="34">
        <f t="shared" si="998"/>
        <v>2.7853554669232841E-3</v>
      </c>
      <c r="I652" s="34">
        <f t="shared" si="998"/>
        <v>2.6911647023413381E-3</v>
      </c>
      <c r="J652" s="34">
        <f t="shared" si="998"/>
        <v>2.6001591326969453E-3</v>
      </c>
      <c r="K652" s="34">
        <f t="shared" si="998"/>
        <v>2.5122310460840053E-3</v>
      </c>
      <c r="L652" s="34">
        <f t="shared" si="998"/>
        <v>2.4272763730280246E-3</v>
      </c>
      <c r="M652" s="34">
        <f t="shared" si="998"/>
        <v>2.3451945633121006E-3</v>
      </c>
      <c r="N652" s="34">
        <f t="shared" si="998"/>
        <v>2.2658884669682139E-3</v>
      </c>
      <c r="O652" s="34">
        <f t="shared" si="998"/>
        <v>2.1892642192929599E-3</v>
      </c>
      <c r="P652" s="34">
        <f t="shared" si="998"/>
        <v>2.1152311297516525E-3</v>
      </c>
      <c r="Q652" s="34">
        <f t="shared" si="998"/>
        <v>2.0437015746392782E-3</v>
      </c>
      <c r="R652" s="34">
        <f t="shared" si="998"/>
        <v>1.9745908933712832E-3</v>
      </c>
      <c r="S652" s="34">
        <f t="shared" si="998"/>
        <v>1.9078172882814332E-3</v>
      </c>
      <c r="T652" s="34">
        <f t="shared" si="998"/>
        <v>1.8433017278081485E-3</v>
      </c>
      <c r="U652" s="34">
        <f t="shared" si="998"/>
        <v>1.7809678529547327E-3</v>
      </c>
      <c r="V652" s="182">
        <f>SUM(B652:U652)</f>
        <v>5.0365204201293472E-2</v>
      </c>
      <c r="W652" s="35"/>
    </row>
    <row r="653" spans="1:23">
      <c r="A653" s="49"/>
      <c r="B653" s="34"/>
      <c r="C653" s="34"/>
      <c r="D653" s="34"/>
      <c r="E653" s="34"/>
      <c r="F653" s="34"/>
      <c r="G653" s="34"/>
      <c r="H653" s="34"/>
      <c r="I653" s="34"/>
      <c r="J653" s="34"/>
      <c r="K653" s="34"/>
      <c r="L653" s="34"/>
      <c r="M653" s="34"/>
      <c r="N653" s="34"/>
      <c r="O653" s="34"/>
      <c r="P653" s="34"/>
      <c r="Q653" s="34"/>
      <c r="R653" s="34"/>
      <c r="S653" s="34"/>
      <c r="T653" s="34"/>
      <c r="U653" s="34"/>
      <c r="V653" s="182"/>
      <c r="W653" s="35"/>
    </row>
    <row r="654" spans="1:23">
      <c r="A654" s="131" t="s">
        <v>1129</v>
      </c>
      <c r="B654" s="100"/>
      <c r="C654" s="100"/>
      <c r="D654" s="100"/>
      <c r="E654" s="100"/>
      <c r="F654" s="100"/>
      <c r="G654" s="100"/>
      <c r="H654" s="100"/>
      <c r="I654" s="100"/>
      <c r="J654" s="100"/>
      <c r="K654" s="100"/>
      <c r="L654" s="100"/>
      <c r="M654" s="100"/>
      <c r="N654" s="100"/>
      <c r="O654" s="100"/>
      <c r="P654" s="100"/>
      <c r="Q654" s="100"/>
      <c r="R654" s="100"/>
      <c r="S654" s="100"/>
      <c r="T654" s="100"/>
      <c r="U654" s="100"/>
      <c r="V654" s="179"/>
      <c r="W654" s="140"/>
    </row>
    <row r="655" spans="1:23">
      <c r="A655" s="200" t="s">
        <v>679</v>
      </c>
      <c r="B655" s="52">
        <v>0</v>
      </c>
      <c r="C655" s="52">
        <v>0</v>
      </c>
      <c r="D655" s="52">
        <v>0</v>
      </c>
      <c r="E655" s="52">
        <v>0</v>
      </c>
      <c r="F655" s="52">
        <v>0</v>
      </c>
      <c r="G655" s="52">
        <v>0</v>
      </c>
      <c r="H655" s="52">
        <v>0</v>
      </c>
      <c r="I655" s="52">
        <v>0</v>
      </c>
      <c r="J655" s="52">
        <v>0</v>
      </c>
      <c r="K655" s="52">
        <v>0</v>
      </c>
      <c r="L655" s="52">
        <v>0</v>
      </c>
      <c r="M655" s="52">
        <v>0</v>
      </c>
      <c r="N655" s="52">
        <v>0</v>
      </c>
      <c r="O655" s="52">
        <v>0</v>
      </c>
      <c r="P655" s="52">
        <v>0</v>
      </c>
      <c r="Q655" s="52">
        <v>0</v>
      </c>
      <c r="R655" s="52">
        <v>0</v>
      </c>
      <c r="S655" s="52">
        <v>0</v>
      </c>
      <c r="T655" s="52">
        <v>0</v>
      </c>
      <c r="U655" s="52">
        <v>0</v>
      </c>
      <c r="V655" s="180">
        <f>SUM(B655:U655)</f>
        <v>0</v>
      </c>
      <c r="W655" s="53">
        <f>V655/20</f>
        <v>0</v>
      </c>
    </row>
    <row r="656" spans="1:23" s="3" customFormat="1">
      <c r="A656" s="200" t="s">
        <v>680</v>
      </c>
      <c r="B656" s="52">
        <f>('Scenario 2 Assumptions'!$B$279*('Scenario 2 Assumptions'!$B$336*0.5)/20)+B196</f>
        <v>1.6875000000000001E-4</v>
      </c>
      <c r="C656" s="52">
        <f>('Scenario 2 Assumptions'!$B$279*('Scenario 2 Assumptions'!$B$336*0.5)/20)+C196</f>
        <v>1.6875000000000001E-4</v>
      </c>
      <c r="D656" s="52">
        <f>('Scenario 2 Assumptions'!$B$279*('Scenario 2 Assumptions'!$B$336*0.5)/20)+D196</f>
        <v>1.6875000000000001E-4</v>
      </c>
      <c r="E656" s="52">
        <f>('Scenario 2 Assumptions'!$B$279*('Scenario 2 Assumptions'!$B$336*0.5)/20)+E196</f>
        <v>1.6875000000000001E-4</v>
      </c>
      <c r="F656" s="52">
        <f>('Scenario 2 Assumptions'!$B$279*('Scenario 2 Assumptions'!$B$336*0.5)/20)+F196</f>
        <v>1.6875000000000001E-4</v>
      </c>
      <c r="G656" s="52">
        <f>('Scenario 2 Assumptions'!$B$279*('Scenario 2 Assumptions'!$B$336*0.5)/20)+G196</f>
        <v>1.6875000000000001E-4</v>
      </c>
      <c r="H656" s="52">
        <f>('Scenario 2 Assumptions'!$B$279*('Scenario 2 Assumptions'!$B$336*0.5)/20)+H196</f>
        <v>1.6875000000000001E-4</v>
      </c>
      <c r="I656" s="52">
        <f>('Scenario 2 Assumptions'!$B$279*('Scenario 2 Assumptions'!$B$336*0.5)/20)+I196</f>
        <v>1.6875000000000001E-4</v>
      </c>
      <c r="J656" s="52">
        <f>('Scenario 2 Assumptions'!$B$279*('Scenario 2 Assumptions'!$B$336*0.5)/20)+J196</f>
        <v>1.6875000000000001E-4</v>
      </c>
      <c r="K656" s="52">
        <f>('Scenario 2 Assumptions'!$B$279*('Scenario 2 Assumptions'!$B$336*0.5)/20)+K196</f>
        <v>1.6875000000000001E-4</v>
      </c>
      <c r="L656" s="52">
        <f>('Scenario 2 Assumptions'!$B$279*('Scenario 2 Assumptions'!$B$336*0.5)/20)+L196</f>
        <v>1.6875000000000001E-4</v>
      </c>
      <c r="M656" s="52">
        <f>('Scenario 2 Assumptions'!$B$279*('Scenario 2 Assumptions'!$B$336*0.5)/20)+M196</f>
        <v>1.6875000000000001E-4</v>
      </c>
      <c r="N656" s="52">
        <f>('Scenario 2 Assumptions'!$B$279*('Scenario 2 Assumptions'!$B$336*0.5)/20)+N196</f>
        <v>1.6875000000000001E-4</v>
      </c>
      <c r="O656" s="52">
        <f>('Scenario 2 Assumptions'!$B$279*('Scenario 2 Assumptions'!$B$336*0.5)/20)+O196</f>
        <v>1.6875000000000001E-4</v>
      </c>
      <c r="P656" s="52">
        <f>('Scenario 2 Assumptions'!$B$279*('Scenario 2 Assumptions'!$B$336*0.5)/20)+P196</f>
        <v>1.6875000000000001E-4</v>
      </c>
      <c r="Q656" s="52">
        <f>('Scenario 2 Assumptions'!$B$279*('Scenario 2 Assumptions'!$B$336*0.5)/20)+Q196</f>
        <v>1.6875000000000001E-4</v>
      </c>
      <c r="R656" s="52">
        <f>('Scenario 2 Assumptions'!$B$279*('Scenario 2 Assumptions'!$B$336*0.5)/20)+R196</f>
        <v>1.6875000000000001E-4</v>
      </c>
      <c r="S656" s="52">
        <f>('Scenario 2 Assumptions'!$B$279*('Scenario 2 Assumptions'!$B$336*0.5)/20)+S196</f>
        <v>1.6875000000000001E-4</v>
      </c>
      <c r="T656" s="52">
        <f>('Scenario 2 Assumptions'!$B$279*('Scenario 2 Assumptions'!$B$336*0.5)/20)+T196</f>
        <v>1.6875000000000001E-4</v>
      </c>
      <c r="U656" s="52">
        <f>('Scenario 2 Assumptions'!$B$279*('Scenario 2 Assumptions'!$B$336*0.5)/20)+U196</f>
        <v>1.6875000000000001E-4</v>
      </c>
      <c r="V656" s="180">
        <f t="shared" ref="V656:V657" si="999">SUM(B656:U656)</f>
        <v>3.3750000000000008E-3</v>
      </c>
      <c r="W656" s="53">
        <f t="shared" ref="W656:W657" si="1000">V656/20</f>
        <v>1.6875000000000004E-4</v>
      </c>
    </row>
    <row r="657" spans="1:23" ht="13.5" customHeight="1">
      <c r="A657" s="49" t="s">
        <v>664</v>
      </c>
      <c r="B657" s="34">
        <f>SUM(B655:B656)</f>
        <v>1.6875000000000001E-4</v>
      </c>
      <c r="C657" s="34">
        <f t="shared" ref="C657" si="1001">SUM(C655:C656)</f>
        <v>1.6875000000000001E-4</v>
      </c>
      <c r="D657" s="34">
        <f t="shared" ref="D657" si="1002">SUM(D655:D656)</f>
        <v>1.6875000000000001E-4</v>
      </c>
      <c r="E657" s="34">
        <f t="shared" ref="E657" si="1003">SUM(E655:E656)</f>
        <v>1.6875000000000001E-4</v>
      </c>
      <c r="F657" s="34">
        <f t="shared" ref="F657" si="1004">SUM(F655:F656)</f>
        <v>1.6875000000000001E-4</v>
      </c>
      <c r="G657" s="34">
        <f t="shared" ref="G657" si="1005">SUM(G655:G656)</f>
        <v>1.6875000000000001E-4</v>
      </c>
      <c r="H657" s="34">
        <f t="shared" ref="H657" si="1006">SUM(H655:H656)</f>
        <v>1.6875000000000001E-4</v>
      </c>
      <c r="I657" s="34">
        <f t="shared" ref="I657" si="1007">SUM(I655:I656)</f>
        <v>1.6875000000000001E-4</v>
      </c>
      <c r="J657" s="34">
        <f t="shared" ref="J657" si="1008">SUM(J655:J656)</f>
        <v>1.6875000000000001E-4</v>
      </c>
      <c r="K657" s="34">
        <f t="shared" ref="K657" si="1009">SUM(K655:K656)</f>
        <v>1.6875000000000001E-4</v>
      </c>
      <c r="L657" s="34">
        <f t="shared" ref="L657" si="1010">SUM(L655:L656)</f>
        <v>1.6875000000000001E-4</v>
      </c>
      <c r="M657" s="34">
        <f t="shared" ref="M657" si="1011">SUM(M655:M656)</f>
        <v>1.6875000000000001E-4</v>
      </c>
      <c r="N657" s="34">
        <f t="shared" ref="N657" si="1012">SUM(N655:N656)</f>
        <v>1.6875000000000001E-4</v>
      </c>
      <c r="O657" s="34">
        <f t="shared" ref="O657" si="1013">SUM(O655:O656)</f>
        <v>1.6875000000000001E-4</v>
      </c>
      <c r="P657" s="34">
        <f t="shared" ref="P657" si="1014">SUM(P655:P656)</f>
        <v>1.6875000000000001E-4</v>
      </c>
      <c r="Q657" s="34">
        <f t="shared" ref="Q657" si="1015">SUM(Q655:Q656)</f>
        <v>1.6875000000000001E-4</v>
      </c>
      <c r="R657" s="34">
        <f t="shared" ref="R657" si="1016">SUM(R655:R656)</f>
        <v>1.6875000000000001E-4</v>
      </c>
      <c r="S657" s="34">
        <f t="shared" ref="S657" si="1017">SUM(S655:S656)</f>
        <v>1.6875000000000001E-4</v>
      </c>
      <c r="T657" s="34">
        <f t="shared" ref="T657" si="1018">SUM(T655:T656)</f>
        <v>1.6875000000000001E-4</v>
      </c>
      <c r="U657" s="34">
        <f t="shared" ref="U657" si="1019">SUM(U655:U656)</f>
        <v>1.6875000000000001E-4</v>
      </c>
      <c r="V657" s="180">
        <f t="shared" si="999"/>
        <v>3.3750000000000008E-3</v>
      </c>
      <c r="W657" s="53">
        <f t="shared" si="1000"/>
        <v>1.6875000000000004E-4</v>
      </c>
    </row>
    <row r="658" spans="1:23" s="81" customFormat="1">
      <c r="A658" s="134" t="s">
        <v>123</v>
      </c>
      <c r="B658" s="52">
        <v>0.96618357487922713</v>
      </c>
      <c r="C658" s="52">
        <v>0.93351070036640305</v>
      </c>
      <c r="D658" s="52">
        <v>0.90194270566802237</v>
      </c>
      <c r="E658" s="52">
        <v>0.87144222769857238</v>
      </c>
      <c r="F658" s="52">
        <v>0.84197316685852419</v>
      </c>
      <c r="G658" s="52">
        <v>0.81350064430775282</v>
      </c>
      <c r="H658" s="52">
        <v>0.78599096068381913</v>
      </c>
      <c r="I658" s="52">
        <v>0.75941155621625056</v>
      </c>
      <c r="J658" s="52">
        <v>0.73373097218961414</v>
      </c>
      <c r="K658" s="52">
        <v>0.70891881370977217</v>
      </c>
      <c r="L658" s="52">
        <v>0.68494571372924851</v>
      </c>
      <c r="M658" s="52">
        <v>0.66178329828912896</v>
      </c>
      <c r="N658" s="52">
        <v>0.63940415293635666</v>
      </c>
      <c r="O658" s="52">
        <v>0.61778179027667302</v>
      </c>
      <c r="P658" s="52">
        <v>0.59689061862480497</v>
      </c>
      <c r="Q658" s="52">
        <v>0.57670591171478747</v>
      </c>
      <c r="R658" s="52">
        <v>0.55720377943457733</v>
      </c>
      <c r="S658" s="52">
        <v>0.53836113955031628</v>
      </c>
      <c r="T658" s="52">
        <v>0.52015569038677911</v>
      </c>
      <c r="U658" s="52">
        <v>0.50256588443167061</v>
      </c>
      <c r="V658" s="180"/>
      <c r="W658" s="133"/>
    </row>
    <row r="659" spans="1:23" s="81" customFormat="1">
      <c r="A659" s="50" t="s">
        <v>1069</v>
      </c>
      <c r="B659" s="34">
        <f t="shared" ref="B659:U659" si="1020">B658*B657</f>
        <v>1.6304347826086958E-4</v>
      </c>
      <c r="C659" s="34">
        <f t="shared" si="1020"/>
        <v>1.5752993068683053E-4</v>
      </c>
      <c r="D659" s="34">
        <f t="shared" si="1020"/>
        <v>1.5220283158147877E-4</v>
      </c>
      <c r="E659" s="34">
        <f t="shared" si="1020"/>
        <v>1.4705587592413411E-4</v>
      </c>
      <c r="F659" s="34">
        <f t="shared" si="1020"/>
        <v>1.4208297190737598E-4</v>
      </c>
      <c r="G659" s="34">
        <f t="shared" si="1020"/>
        <v>1.372782337269333E-4</v>
      </c>
      <c r="H659" s="34">
        <f t="shared" si="1020"/>
        <v>1.3263597461539447E-4</v>
      </c>
      <c r="I659" s="34">
        <f t="shared" si="1020"/>
        <v>1.281507001114923E-4</v>
      </c>
      <c r="J659" s="34">
        <f t="shared" si="1020"/>
        <v>1.238171015569974E-4</v>
      </c>
      <c r="K659" s="34">
        <f t="shared" si="1020"/>
        <v>1.1963004981352407E-4</v>
      </c>
      <c r="L659" s="34">
        <f t="shared" si="1020"/>
        <v>1.1558458919181069E-4</v>
      </c>
      <c r="M659" s="34">
        <f t="shared" si="1020"/>
        <v>1.1167593158629052E-4</v>
      </c>
      <c r="N659" s="34">
        <f t="shared" si="1020"/>
        <v>1.0789945080801019E-4</v>
      </c>
      <c r="O659" s="34">
        <f t="shared" si="1020"/>
        <v>1.0425067710918858E-4</v>
      </c>
      <c r="P659" s="34">
        <f t="shared" si="1020"/>
        <v>1.0072529189293584E-4</v>
      </c>
      <c r="Q659" s="34">
        <f t="shared" si="1020"/>
        <v>9.7319122601870396E-5</v>
      </c>
      <c r="R659" s="34">
        <f t="shared" si="1020"/>
        <v>9.402813777958493E-5</v>
      </c>
      <c r="S659" s="34">
        <f t="shared" si="1020"/>
        <v>9.0848442299115879E-5</v>
      </c>
      <c r="T659" s="34">
        <f t="shared" si="1020"/>
        <v>8.7776272752768973E-5</v>
      </c>
      <c r="U659" s="34">
        <f t="shared" si="1020"/>
        <v>8.4807992997844422E-5</v>
      </c>
      <c r="V659" s="182">
        <f>SUM(B659:U659)</f>
        <v>2.3983430572044511E-3</v>
      </c>
      <c r="W659" s="35"/>
    </row>
    <row r="660" spans="1:23">
      <c r="A660" s="49"/>
      <c r="B660" s="34"/>
      <c r="C660" s="34"/>
      <c r="D660" s="34"/>
      <c r="E660" s="34"/>
      <c r="F660" s="34"/>
      <c r="G660" s="34"/>
      <c r="H660" s="34"/>
      <c r="I660" s="34"/>
      <c r="J660" s="34"/>
      <c r="K660" s="34"/>
      <c r="L660" s="34"/>
      <c r="M660" s="34"/>
      <c r="N660" s="34"/>
      <c r="O660" s="34"/>
      <c r="P660" s="34"/>
      <c r="Q660" s="34"/>
      <c r="R660" s="34"/>
      <c r="S660" s="34"/>
      <c r="T660" s="34"/>
      <c r="U660" s="34"/>
      <c r="V660" s="182"/>
      <c r="W660" s="35"/>
    </row>
    <row r="661" spans="1:23">
      <c r="A661" s="131" t="s">
        <v>982</v>
      </c>
      <c r="B661" s="100"/>
      <c r="C661" s="100"/>
      <c r="D661" s="100"/>
      <c r="E661" s="100"/>
      <c r="F661" s="100"/>
      <c r="G661" s="100"/>
      <c r="H661" s="100"/>
      <c r="I661" s="100"/>
      <c r="J661" s="100"/>
      <c r="K661" s="100"/>
      <c r="L661" s="100"/>
      <c r="M661" s="100"/>
      <c r="N661" s="100"/>
      <c r="O661" s="100"/>
      <c r="P661" s="100"/>
      <c r="Q661" s="100"/>
      <c r="R661" s="100"/>
      <c r="S661" s="100"/>
      <c r="T661" s="100"/>
      <c r="U661" s="100"/>
      <c r="V661" s="179"/>
      <c r="W661" s="140"/>
    </row>
    <row r="662" spans="1:23">
      <c r="A662" s="200" t="s">
        <v>679</v>
      </c>
      <c r="B662" s="52">
        <f t="shared" ref="B662:U662" si="1021">B184</f>
        <v>6.7499999999999999E-3</v>
      </c>
      <c r="C662" s="52">
        <f t="shared" si="1021"/>
        <v>0</v>
      </c>
      <c r="D662" s="52">
        <f t="shared" si="1021"/>
        <v>0</v>
      </c>
      <c r="E662" s="52">
        <f t="shared" si="1021"/>
        <v>6.7499999999999999E-3</v>
      </c>
      <c r="F662" s="52">
        <f t="shared" si="1021"/>
        <v>0</v>
      </c>
      <c r="G662" s="52">
        <f t="shared" si="1021"/>
        <v>0</v>
      </c>
      <c r="H662" s="52">
        <f t="shared" si="1021"/>
        <v>6.7499999999999999E-3</v>
      </c>
      <c r="I662" s="52">
        <f t="shared" si="1021"/>
        <v>0</v>
      </c>
      <c r="J662" s="52">
        <f t="shared" si="1021"/>
        <v>0</v>
      </c>
      <c r="K662" s="52">
        <f t="shared" si="1021"/>
        <v>6.7499999999999999E-3</v>
      </c>
      <c r="L662" s="52">
        <f t="shared" si="1021"/>
        <v>0</v>
      </c>
      <c r="M662" s="52">
        <f t="shared" si="1021"/>
        <v>0</v>
      </c>
      <c r="N662" s="52">
        <f t="shared" si="1021"/>
        <v>6.7499999999999999E-3</v>
      </c>
      <c r="O662" s="52">
        <f t="shared" si="1021"/>
        <v>0</v>
      </c>
      <c r="P662" s="52">
        <f t="shared" si="1021"/>
        <v>0</v>
      </c>
      <c r="Q662" s="52">
        <f t="shared" si="1021"/>
        <v>6.7499999999999999E-3</v>
      </c>
      <c r="R662" s="52">
        <f t="shared" si="1021"/>
        <v>0</v>
      </c>
      <c r="S662" s="52">
        <f t="shared" si="1021"/>
        <v>0</v>
      </c>
      <c r="T662" s="52">
        <f t="shared" si="1021"/>
        <v>6.7499999999999999E-3</v>
      </c>
      <c r="U662" s="52">
        <f t="shared" si="1021"/>
        <v>0</v>
      </c>
      <c r="V662" s="180">
        <f>SUM(B662:U662)</f>
        <v>4.725E-2</v>
      </c>
      <c r="W662" s="53">
        <f>V662/20</f>
        <v>2.3625E-3</v>
      </c>
    </row>
    <row r="663" spans="1:23" s="3" customFormat="1">
      <c r="A663" s="200" t="s">
        <v>680</v>
      </c>
      <c r="B663" s="52">
        <f>('Scenario 2 Assumptions'!$B$279*('Scenario 2 Assumptions'!$B$340*0.5)/20)+B197</f>
        <v>1.130625E-2</v>
      </c>
      <c r="C663" s="52">
        <f>('Scenario 2 Assumptions'!$B$279*('Scenario 2 Assumptions'!$B$340*0.5)/20)+C197</f>
        <v>1.130625E-2</v>
      </c>
      <c r="D663" s="52">
        <f>('Scenario 2 Assumptions'!$B$279*('Scenario 2 Assumptions'!$B$340*0.5)/20)+D197</f>
        <v>1.130625E-2</v>
      </c>
      <c r="E663" s="52">
        <f>('Scenario 2 Assumptions'!$B$279*('Scenario 2 Assumptions'!$B$340*0.5)/20)+E197</f>
        <v>1.130625E-2</v>
      </c>
      <c r="F663" s="52">
        <f>('Scenario 2 Assumptions'!$B$279*('Scenario 2 Assumptions'!$B$340*0.5)/20)+F197</f>
        <v>1.130625E-2</v>
      </c>
      <c r="G663" s="52">
        <f>('Scenario 2 Assumptions'!$B$279*('Scenario 2 Assumptions'!$B$340*0.5)/20)+G197</f>
        <v>1.130625E-2</v>
      </c>
      <c r="H663" s="52">
        <f>('Scenario 2 Assumptions'!$B$279*('Scenario 2 Assumptions'!$B$340*0.5)/20)+H197</f>
        <v>1.130625E-2</v>
      </c>
      <c r="I663" s="52">
        <f>('Scenario 2 Assumptions'!$B$279*('Scenario 2 Assumptions'!$B$340*0.5)/20)+I197</f>
        <v>1.130625E-2</v>
      </c>
      <c r="J663" s="52">
        <f>('Scenario 2 Assumptions'!$B$279*('Scenario 2 Assumptions'!$B$340*0.5)/20)+J197</f>
        <v>1.130625E-2</v>
      </c>
      <c r="K663" s="52">
        <f>('Scenario 2 Assumptions'!$B$279*('Scenario 2 Assumptions'!$B$340*0.5)/20)+K197</f>
        <v>1.130625E-2</v>
      </c>
      <c r="L663" s="52">
        <f>('Scenario 2 Assumptions'!$B$279*('Scenario 2 Assumptions'!$B$340*0.5)/20)+L197</f>
        <v>1.130625E-2</v>
      </c>
      <c r="M663" s="52">
        <f>('Scenario 2 Assumptions'!$B$279*('Scenario 2 Assumptions'!$B$340*0.5)/20)+M197</f>
        <v>1.130625E-2</v>
      </c>
      <c r="N663" s="52">
        <f>('Scenario 2 Assumptions'!$B$279*('Scenario 2 Assumptions'!$B$340*0.5)/20)+N197</f>
        <v>1.130625E-2</v>
      </c>
      <c r="O663" s="52">
        <f>('Scenario 2 Assumptions'!$B$279*('Scenario 2 Assumptions'!$B$340*0.5)/20)+O197</f>
        <v>1.130625E-2</v>
      </c>
      <c r="P663" s="52">
        <f>('Scenario 2 Assumptions'!$B$279*('Scenario 2 Assumptions'!$B$340*0.5)/20)+P197</f>
        <v>1.130625E-2</v>
      </c>
      <c r="Q663" s="52">
        <f>('Scenario 2 Assumptions'!$B$279*('Scenario 2 Assumptions'!$B$340*0.5)/20)+Q197</f>
        <v>1.130625E-2</v>
      </c>
      <c r="R663" s="52">
        <f>('Scenario 2 Assumptions'!$B$279*('Scenario 2 Assumptions'!$B$340*0.5)/20)+R197</f>
        <v>1.130625E-2</v>
      </c>
      <c r="S663" s="52">
        <f>('Scenario 2 Assumptions'!$B$279*('Scenario 2 Assumptions'!$B$340*0.5)/20)+S197</f>
        <v>1.130625E-2</v>
      </c>
      <c r="T663" s="52">
        <f>('Scenario 2 Assumptions'!$B$279*('Scenario 2 Assumptions'!$B$340*0.5)/20)+T197</f>
        <v>1.130625E-2</v>
      </c>
      <c r="U663" s="52">
        <f>('Scenario 2 Assumptions'!$B$279*('Scenario 2 Assumptions'!$B$340*0.5)/20)+U197</f>
        <v>1.130625E-2</v>
      </c>
      <c r="V663" s="180">
        <f t="shared" ref="V663:V664" si="1022">SUM(B663:U663)</f>
        <v>0.22612499999999994</v>
      </c>
      <c r="W663" s="53">
        <f t="shared" ref="W663:W664" si="1023">V663/20</f>
        <v>1.1306249999999997E-2</v>
      </c>
    </row>
    <row r="664" spans="1:23" ht="13.5" customHeight="1">
      <c r="A664" s="49" t="s">
        <v>664</v>
      </c>
      <c r="B664" s="34">
        <f>SUM(B662:B663)</f>
        <v>1.8056249999999999E-2</v>
      </c>
      <c r="C664" s="34">
        <f t="shared" ref="C664" si="1024">SUM(C662:C663)</f>
        <v>1.130625E-2</v>
      </c>
      <c r="D664" s="34">
        <f t="shared" ref="D664" si="1025">SUM(D662:D663)</f>
        <v>1.130625E-2</v>
      </c>
      <c r="E664" s="34">
        <f t="shared" ref="E664" si="1026">SUM(E662:E663)</f>
        <v>1.8056249999999999E-2</v>
      </c>
      <c r="F664" s="34">
        <f t="shared" ref="F664" si="1027">SUM(F662:F663)</f>
        <v>1.130625E-2</v>
      </c>
      <c r="G664" s="34">
        <f t="shared" ref="G664" si="1028">SUM(G662:G663)</f>
        <v>1.130625E-2</v>
      </c>
      <c r="H664" s="34">
        <f t="shared" ref="H664" si="1029">SUM(H662:H663)</f>
        <v>1.8056249999999999E-2</v>
      </c>
      <c r="I664" s="34">
        <f t="shared" ref="I664" si="1030">SUM(I662:I663)</f>
        <v>1.130625E-2</v>
      </c>
      <c r="J664" s="34">
        <f t="shared" ref="J664" si="1031">SUM(J662:J663)</f>
        <v>1.130625E-2</v>
      </c>
      <c r="K664" s="34">
        <f t="shared" ref="K664" si="1032">SUM(K662:K663)</f>
        <v>1.8056249999999999E-2</v>
      </c>
      <c r="L664" s="34">
        <f t="shared" ref="L664" si="1033">SUM(L662:L663)</f>
        <v>1.130625E-2</v>
      </c>
      <c r="M664" s="34">
        <f t="shared" ref="M664" si="1034">SUM(M662:M663)</f>
        <v>1.130625E-2</v>
      </c>
      <c r="N664" s="34">
        <f t="shared" ref="N664" si="1035">SUM(N662:N663)</f>
        <v>1.8056249999999999E-2</v>
      </c>
      <c r="O664" s="34">
        <f t="shared" ref="O664" si="1036">SUM(O662:O663)</f>
        <v>1.130625E-2</v>
      </c>
      <c r="P664" s="34">
        <f t="shared" ref="P664" si="1037">SUM(P662:P663)</f>
        <v>1.130625E-2</v>
      </c>
      <c r="Q664" s="34">
        <f t="shared" ref="Q664" si="1038">SUM(Q662:Q663)</f>
        <v>1.8056249999999999E-2</v>
      </c>
      <c r="R664" s="34">
        <f t="shared" ref="R664" si="1039">SUM(R662:R663)</f>
        <v>1.130625E-2</v>
      </c>
      <c r="S664" s="34">
        <f t="shared" ref="S664" si="1040">SUM(S662:S663)</f>
        <v>1.130625E-2</v>
      </c>
      <c r="T664" s="34">
        <f t="shared" ref="T664" si="1041">SUM(T662:T663)</f>
        <v>1.8056249999999999E-2</v>
      </c>
      <c r="U664" s="34">
        <f t="shared" ref="U664" si="1042">SUM(U662:U663)</f>
        <v>1.130625E-2</v>
      </c>
      <c r="V664" s="180">
        <f t="shared" si="1022"/>
        <v>0.27337499999999998</v>
      </c>
      <c r="W664" s="53">
        <f t="shared" si="1023"/>
        <v>1.3668749999999999E-2</v>
      </c>
    </row>
    <row r="665" spans="1:23" s="81" customFormat="1">
      <c r="A665" s="134" t="s">
        <v>123</v>
      </c>
      <c r="B665" s="52">
        <v>0.96618357487922713</v>
      </c>
      <c r="C665" s="52">
        <v>0.93351070036640305</v>
      </c>
      <c r="D665" s="52">
        <v>0.90194270566802237</v>
      </c>
      <c r="E665" s="52">
        <v>0.87144222769857238</v>
      </c>
      <c r="F665" s="52">
        <v>0.84197316685852419</v>
      </c>
      <c r="G665" s="52">
        <v>0.81350064430775282</v>
      </c>
      <c r="H665" s="52">
        <v>0.78599096068381913</v>
      </c>
      <c r="I665" s="52">
        <v>0.75941155621625056</v>
      </c>
      <c r="J665" s="52">
        <v>0.73373097218961414</v>
      </c>
      <c r="K665" s="52">
        <v>0.70891881370977217</v>
      </c>
      <c r="L665" s="52">
        <v>0.68494571372924851</v>
      </c>
      <c r="M665" s="52">
        <v>0.66178329828912896</v>
      </c>
      <c r="N665" s="52">
        <v>0.63940415293635666</v>
      </c>
      <c r="O665" s="52">
        <v>0.61778179027667302</v>
      </c>
      <c r="P665" s="52">
        <v>0.59689061862480497</v>
      </c>
      <c r="Q665" s="52">
        <v>0.57670591171478747</v>
      </c>
      <c r="R665" s="52">
        <v>0.55720377943457733</v>
      </c>
      <c r="S665" s="52">
        <v>0.53836113955031628</v>
      </c>
      <c r="T665" s="52">
        <v>0.52015569038677911</v>
      </c>
      <c r="U665" s="52">
        <v>0.50256588443167061</v>
      </c>
      <c r="V665" s="180"/>
      <c r="W665" s="133"/>
    </row>
    <row r="666" spans="1:23" s="81" customFormat="1">
      <c r="A666" s="50" t="s">
        <v>1069</v>
      </c>
      <c r="B666" s="34">
        <f t="shared" ref="B666:U666" si="1043">B665*B664</f>
        <v>1.7445652173913043E-2</v>
      </c>
      <c r="C666" s="34">
        <f t="shared" si="1043"/>
        <v>1.0554505356017645E-2</v>
      </c>
      <c r="D666" s="34">
        <f t="shared" si="1043"/>
        <v>1.0197589715959078E-2</v>
      </c>
      <c r="E666" s="34">
        <f t="shared" si="1043"/>
        <v>1.5734978723882347E-2</v>
      </c>
      <c r="F666" s="34">
        <f t="shared" si="1043"/>
        <v>9.5195591177941897E-3</v>
      </c>
      <c r="G666" s="34">
        <f t="shared" si="1043"/>
        <v>9.19764165970453E-3</v>
      </c>
      <c r="H666" s="34">
        <f t="shared" si="1043"/>
        <v>1.4192049283847208E-2</v>
      </c>
      <c r="I666" s="34">
        <f t="shared" si="1043"/>
        <v>8.5860969074699825E-3</v>
      </c>
      <c r="J666" s="34">
        <f t="shared" si="1043"/>
        <v>8.2957458043188253E-3</v>
      </c>
      <c r="K666" s="34">
        <f t="shared" si="1043"/>
        <v>1.2800415330047074E-2</v>
      </c>
      <c r="L666" s="34">
        <f t="shared" si="1043"/>
        <v>7.7441674758513164E-3</v>
      </c>
      <c r="M666" s="34">
        <f t="shared" si="1043"/>
        <v>7.4822874162814648E-3</v>
      </c>
      <c r="N666" s="34">
        <f t="shared" si="1043"/>
        <v>1.154524123645709E-2</v>
      </c>
      <c r="O666" s="34">
        <f t="shared" si="1043"/>
        <v>6.9847953663156343E-3</v>
      </c>
      <c r="P666" s="34">
        <f t="shared" si="1043"/>
        <v>6.7485945568267012E-3</v>
      </c>
      <c r="Q666" s="34">
        <f t="shared" si="1043"/>
        <v>1.0413146118400132E-2</v>
      </c>
      <c r="R666" s="34">
        <f t="shared" si="1043"/>
        <v>6.2998852312321904E-3</v>
      </c>
      <c r="S666" s="34">
        <f t="shared" si="1043"/>
        <v>6.0868456340407639E-3</v>
      </c>
      <c r="T666" s="34">
        <f t="shared" si="1043"/>
        <v>9.3920611845462795E-3</v>
      </c>
      <c r="U666" s="34">
        <f t="shared" si="1043"/>
        <v>5.6821355308555761E-3</v>
      </c>
      <c r="V666" s="182">
        <f>SUM(B666:U666)</f>
        <v>0.19490339382376104</v>
      </c>
      <c r="W666" s="35"/>
    </row>
    <row r="667" spans="1:23">
      <c r="A667" s="49"/>
      <c r="B667" s="34"/>
      <c r="C667" s="34"/>
      <c r="D667" s="34"/>
      <c r="E667" s="34"/>
      <c r="F667" s="34"/>
      <c r="G667" s="34"/>
      <c r="H667" s="34"/>
      <c r="I667" s="34"/>
      <c r="J667" s="34"/>
      <c r="K667" s="34"/>
      <c r="L667" s="34"/>
      <c r="M667" s="34"/>
      <c r="N667" s="34"/>
      <c r="O667" s="34"/>
      <c r="P667" s="34"/>
      <c r="Q667" s="34"/>
      <c r="R667" s="34"/>
      <c r="S667" s="34"/>
      <c r="T667" s="34"/>
      <c r="U667" s="34"/>
      <c r="V667" s="182"/>
      <c r="W667" s="35"/>
    </row>
    <row r="668" spans="1:23">
      <c r="A668" s="131" t="s">
        <v>1085</v>
      </c>
      <c r="B668" s="100"/>
      <c r="C668" s="100"/>
      <c r="D668" s="100"/>
      <c r="E668" s="100"/>
      <c r="F668" s="100"/>
      <c r="G668" s="100"/>
      <c r="H668" s="100"/>
      <c r="I668" s="100"/>
      <c r="J668" s="100"/>
      <c r="K668" s="100"/>
      <c r="L668" s="100"/>
      <c r="M668" s="100"/>
      <c r="N668" s="100"/>
      <c r="O668" s="100"/>
      <c r="P668" s="100"/>
      <c r="Q668" s="100"/>
      <c r="R668" s="100"/>
      <c r="S668" s="100"/>
      <c r="T668" s="100"/>
      <c r="U668" s="100"/>
      <c r="V668" s="179"/>
      <c r="W668" s="140"/>
    </row>
    <row r="669" spans="1:23">
      <c r="A669" s="200" t="s">
        <v>679</v>
      </c>
      <c r="B669" s="52">
        <v>0</v>
      </c>
      <c r="C669" s="52">
        <v>0</v>
      </c>
      <c r="D669" s="52">
        <v>0</v>
      </c>
      <c r="E669" s="52">
        <v>0</v>
      </c>
      <c r="F669" s="52">
        <v>0</v>
      </c>
      <c r="G669" s="52">
        <v>0</v>
      </c>
      <c r="H669" s="52">
        <v>0</v>
      </c>
      <c r="I669" s="52">
        <v>0</v>
      </c>
      <c r="J669" s="52">
        <v>0</v>
      </c>
      <c r="K669" s="52">
        <v>0</v>
      </c>
      <c r="L669" s="52">
        <v>0</v>
      </c>
      <c r="M669" s="52">
        <v>0</v>
      </c>
      <c r="N669" s="52">
        <v>0</v>
      </c>
      <c r="O669" s="52">
        <v>0</v>
      </c>
      <c r="P669" s="52">
        <v>0</v>
      </c>
      <c r="Q669" s="52">
        <v>0</v>
      </c>
      <c r="R669" s="52">
        <v>0</v>
      </c>
      <c r="S669" s="52">
        <v>0</v>
      </c>
      <c r="T669" s="52">
        <v>0</v>
      </c>
      <c r="U669" s="52">
        <v>0</v>
      </c>
      <c r="V669" s="180">
        <f>SUM(B669:U669)</f>
        <v>0</v>
      </c>
      <c r="W669" s="53">
        <f>V669/20</f>
        <v>0</v>
      </c>
    </row>
    <row r="670" spans="1:23" s="3" customFormat="1">
      <c r="A670" s="200" t="s">
        <v>680</v>
      </c>
      <c r="B670" s="52">
        <f>('Scenario 2 Assumptions'!$B$279*('Scenario 2 Assumptions'!$B$348*0.5)/20)+B198</f>
        <v>1.6875000000000001E-4</v>
      </c>
      <c r="C670" s="52">
        <f>('Scenario 2 Assumptions'!$B$279*('Scenario 2 Assumptions'!$B$348*0.5)/20)+C198</f>
        <v>1.6875000000000001E-4</v>
      </c>
      <c r="D670" s="52">
        <f>('Scenario 2 Assumptions'!$B$279*('Scenario 2 Assumptions'!$B$348*0.5)/20)+D198</f>
        <v>1.6875000000000001E-4</v>
      </c>
      <c r="E670" s="52">
        <f>('Scenario 2 Assumptions'!$B$279*('Scenario 2 Assumptions'!$B$348*0.5)/20)+E198</f>
        <v>1.6875000000000001E-4</v>
      </c>
      <c r="F670" s="52">
        <f>('Scenario 2 Assumptions'!$B$279*('Scenario 2 Assumptions'!$B$348*0.5)/20)+F198</f>
        <v>1.6875000000000001E-4</v>
      </c>
      <c r="G670" s="52">
        <f>('Scenario 2 Assumptions'!$B$279*('Scenario 2 Assumptions'!$B$348*0.5)/20)+G198</f>
        <v>1.6875000000000001E-4</v>
      </c>
      <c r="H670" s="52">
        <f>('Scenario 2 Assumptions'!$B$279*('Scenario 2 Assumptions'!$B$348*0.5)/20)+H198</f>
        <v>1.6875000000000001E-4</v>
      </c>
      <c r="I670" s="52">
        <f>('Scenario 2 Assumptions'!$B$279*('Scenario 2 Assumptions'!$B$348*0.5)/20)+I198</f>
        <v>1.6875000000000001E-4</v>
      </c>
      <c r="J670" s="52">
        <f>('Scenario 2 Assumptions'!$B$279*('Scenario 2 Assumptions'!$B$348*0.5)/20)+J198</f>
        <v>1.6875000000000001E-4</v>
      </c>
      <c r="K670" s="52">
        <f>('Scenario 2 Assumptions'!$B$279*('Scenario 2 Assumptions'!$B$348*0.5)/20)+K198</f>
        <v>1.6875000000000001E-4</v>
      </c>
      <c r="L670" s="52">
        <f>('Scenario 2 Assumptions'!$B$279*('Scenario 2 Assumptions'!$B$348*0.5)/20)+L198</f>
        <v>1.6875000000000001E-4</v>
      </c>
      <c r="M670" s="52">
        <f>('Scenario 2 Assumptions'!$B$279*('Scenario 2 Assumptions'!$B$348*0.5)/20)+M198</f>
        <v>1.6875000000000001E-4</v>
      </c>
      <c r="N670" s="52">
        <f>('Scenario 2 Assumptions'!$B$279*('Scenario 2 Assumptions'!$B$348*0.5)/20)+N198</f>
        <v>1.6875000000000001E-4</v>
      </c>
      <c r="O670" s="52">
        <f>('Scenario 2 Assumptions'!$B$279*('Scenario 2 Assumptions'!$B$348*0.5)/20)+O198</f>
        <v>1.6875000000000001E-4</v>
      </c>
      <c r="P670" s="52">
        <f>('Scenario 2 Assumptions'!$B$279*('Scenario 2 Assumptions'!$B$348*0.5)/20)+P198</f>
        <v>1.6875000000000001E-4</v>
      </c>
      <c r="Q670" s="52">
        <f>('Scenario 2 Assumptions'!$B$279*('Scenario 2 Assumptions'!$B$348*0.5)/20)+Q198</f>
        <v>1.6875000000000001E-4</v>
      </c>
      <c r="R670" s="52">
        <f>('Scenario 2 Assumptions'!$B$279*('Scenario 2 Assumptions'!$B$348*0.5)/20)+R198</f>
        <v>1.6875000000000001E-4</v>
      </c>
      <c r="S670" s="52">
        <f>('Scenario 2 Assumptions'!$B$279*('Scenario 2 Assumptions'!$B$348*0.5)/20)+S198</f>
        <v>1.6875000000000001E-4</v>
      </c>
      <c r="T670" s="52">
        <f>('Scenario 2 Assumptions'!$B$279*('Scenario 2 Assumptions'!$B$348*0.5)/20)+T198</f>
        <v>1.6875000000000001E-4</v>
      </c>
      <c r="U670" s="52">
        <f>('Scenario 2 Assumptions'!$B$279*('Scenario 2 Assumptions'!$B$348*0.5)/20)+U198</f>
        <v>1.6875000000000001E-4</v>
      </c>
      <c r="V670" s="180">
        <f t="shared" ref="V670:V671" si="1044">SUM(B670:U670)</f>
        <v>3.3750000000000008E-3</v>
      </c>
      <c r="W670" s="53">
        <f t="shared" ref="W670:W671" si="1045">V670/20</f>
        <v>1.6875000000000004E-4</v>
      </c>
    </row>
    <row r="671" spans="1:23" ht="13.5" customHeight="1">
      <c r="A671" s="49" t="s">
        <v>664</v>
      </c>
      <c r="B671" s="34">
        <f>SUM(B669:B670)</f>
        <v>1.6875000000000001E-4</v>
      </c>
      <c r="C671" s="34">
        <f t="shared" ref="C671" si="1046">SUM(C669:C670)</f>
        <v>1.6875000000000001E-4</v>
      </c>
      <c r="D671" s="34">
        <f t="shared" ref="D671" si="1047">SUM(D669:D670)</f>
        <v>1.6875000000000001E-4</v>
      </c>
      <c r="E671" s="34">
        <f t="shared" ref="E671" si="1048">SUM(E669:E670)</f>
        <v>1.6875000000000001E-4</v>
      </c>
      <c r="F671" s="34">
        <f t="shared" ref="F671" si="1049">SUM(F669:F670)</f>
        <v>1.6875000000000001E-4</v>
      </c>
      <c r="G671" s="34">
        <f t="shared" ref="G671" si="1050">SUM(G669:G670)</f>
        <v>1.6875000000000001E-4</v>
      </c>
      <c r="H671" s="34">
        <f t="shared" ref="H671" si="1051">SUM(H669:H670)</f>
        <v>1.6875000000000001E-4</v>
      </c>
      <c r="I671" s="34">
        <f t="shared" ref="I671" si="1052">SUM(I669:I670)</f>
        <v>1.6875000000000001E-4</v>
      </c>
      <c r="J671" s="34">
        <f t="shared" ref="J671" si="1053">SUM(J669:J670)</f>
        <v>1.6875000000000001E-4</v>
      </c>
      <c r="K671" s="34">
        <f t="shared" ref="K671" si="1054">SUM(K669:K670)</f>
        <v>1.6875000000000001E-4</v>
      </c>
      <c r="L671" s="34">
        <f t="shared" ref="L671" si="1055">SUM(L669:L670)</f>
        <v>1.6875000000000001E-4</v>
      </c>
      <c r="M671" s="34">
        <f t="shared" ref="M671" si="1056">SUM(M669:M670)</f>
        <v>1.6875000000000001E-4</v>
      </c>
      <c r="N671" s="34">
        <f t="shared" ref="N671" si="1057">SUM(N669:N670)</f>
        <v>1.6875000000000001E-4</v>
      </c>
      <c r="O671" s="34">
        <f t="shared" ref="O671" si="1058">SUM(O669:O670)</f>
        <v>1.6875000000000001E-4</v>
      </c>
      <c r="P671" s="34">
        <f t="shared" ref="P671" si="1059">SUM(P669:P670)</f>
        <v>1.6875000000000001E-4</v>
      </c>
      <c r="Q671" s="34">
        <f t="shared" ref="Q671" si="1060">SUM(Q669:Q670)</f>
        <v>1.6875000000000001E-4</v>
      </c>
      <c r="R671" s="34">
        <f t="shared" ref="R671" si="1061">SUM(R669:R670)</f>
        <v>1.6875000000000001E-4</v>
      </c>
      <c r="S671" s="34">
        <f t="shared" ref="S671" si="1062">SUM(S669:S670)</f>
        <v>1.6875000000000001E-4</v>
      </c>
      <c r="T671" s="34">
        <f t="shared" ref="T671" si="1063">SUM(T669:T670)</f>
        <v>1.6875000000000001E-4</v>
      </c>
      <c r="U671" s="34">
        <f t="shared" ref="U671" si="1064">SUM(U669:U670)</f>
        <v>1.6875000000000001E-4</v>
      </c>
      <c r="V671" s="180">
        <f t="shared" si="1044"/>
        <v>3.3750000000000008E-3</v>
      </c>
      <c r="W671" s="53">
        <f t="shared" si="1045"/>
        <v>1.6875000000000004E-4</v>
      </c>
    </row>
    <row r="672" spans="1:23" s="81" customFormat="1">
      <c r="A672" s="134" t="s">
        <v>123</v>
      </c>
      <c r="B672" s="52">
        <v>0.96618357487922713</v>
      </c>
      <c r="C672" s="52">
        <v>0.93351070036640305</v>
      </c>
      <c r="D672" s="52">
        <v>0.90194270566802237</v>
      </c>
      <c r="E672" s="52">
        <v>0.87144222769857238</v>
      </c>
      <c r="F672" s="52">
        <v>0.84197316685852419</v>
      </c>
      <c r="G672" s="52">
        <v>0.81350064430775282</v>
      </c>
      <c r="H672" s="52">
        <v>0.78599096068381913</v>
      </c>
      <c r="I672" s="52">
        <v>0.75941155621625056</v>
      </c>
      <c r="J672" s="52">
        <v>0.73373097218961414</v>
      </c>
      <c r="K672" s="52">
        <v>0.70891881370977217</v>
      </c>
      <c r="L672" s="52">
        <v>0.68494571372924851</v>
      </c>
      <c r="M672" s="52">
        <v>0.66178329828912896</v>
      </c>
      <c r="N672" s="52">
        <v>0.63940415293635666</v>
      </c>
      <c r="O672" s="52">
        <v>0.61778179027667302</v>
      </c>
      <c r="P672" s="52">
        <v>0.59689061862480497</v>
      </c>
      <c r="Q672" s="52">
        <v>0.57670591171478747</v>
      </c>
      <c r="R672" s="52">
        <v>0.55720377943457733</v>
      </c>
      <c r="S672" s="52">
        <v>0.53836113955031628</v>
      </c>
      <c r="T672" s="52">
        <v>0.52015569038677911</v>
      </c>
      <c r="U672" s="52">
        <v>0.50256588443167061</v>
      </c>
      <c r="V672" s="180"/>
      <c r="W672" s="133"/>
    </row>
    <row r="673" spans="1:23" s="81" customFormat="1">
      <c r="A673" s="50" t="s">
        <v>1069</v>
      </c>
      <c r="B673" s="34">
        <f t="shared" ref="B673:U673" si="1065">B672*B671</f>
        <v>1.6304347826086958E-4</v>
      </c>
      <c r="C673" s="34">
        <f t="shared" si="1065"/>
        <v>1.5752993068683053E-4</v>
      </c>
      <c r="D673" s="34">
        <f t="shared" si="1065"/>
        <v>1.5220283158147877E-4</v>
      </c>
      <c r="E673" s="34">
        <f t="shared" si="1065"/>
        <v>1.4705587592413411E-4</v>
      </c>
      <c r="F673" s="34">
        <f t="shared" si="1065"/>
        <v>1.4208297190737598E-4</v>
      </c>
      <c r="G673" s="34">
        <f t="shared" si="1065"/>
        <v>1.372782337269333E-4</v>
      </c>
      <c r="H673" s="34">
        <f t="shared" si="1065"/>
        <v>1.3263597461539447E-4</v>
      </c>
      <c r="I673" s="34">
        <f t="shared" si="1065"/>
        <v>1.281507001114923E-4</v>
      </c>
      <c r="J673" s="34">
        <f t="shared" si="1065"/>
        <v>1.238171015569974E-4</v>
      </c>
      <c r="K673" s="34">
        <f t="shared" si="1065"/>
        <v>1.1963004981352407E-4</v>
      </c>
      <c r="L673" s="34">
        <f t="shared" si="1065"/>
        <v>1.1558458919181069E-4</v>
      </c>
      <c r="M673" s="34">
        <f t="shared" si="1065"/>
        <v>1.1167593158629052E-4</v>
      </c>
      <c r="N673" s="34">
        <f t="shared" si="1065"/>
        <v>1.0789945080801019E-4</v>
      </c>
      <c r="O673" s="34">
        <f t="shared" si="1065"/>
        <v>1.0425067710918858E-4</v>
      </c>
      <c r="P673" s="34">
        <f t="shared" si="1065"/>
        <v>1.0072529189293584E-4</v>
      </c>
      <c r="Q673" s="34">
        <f t="shared" si="1065"/>
        <v>9.7319122601870396E-5</v>
      </c>
      <c r="R673" s="34">
        <f t="shared" si="1065"/>
        <v>9.402813777958493E-5</v>
      </c>
      <c r="S673" s="34">
        <f t="shared" si="1065"/>
        <v>9.0848442299115879E-5</v>
      </c>
      <c r="T673" s="34">
        <f t="shared" si="1065"/>
        <v>8.7776272752768973E-5</v>
      </c>
      <c r="U673" s="34">
        <f t="shared" si="1065"/>
        <v>8.4807992997844422E-5</v>
      </c>
      <c r="V673" s="182">
        <f>SUM(B673:U673)</f>
        <v>2.3983430572044511E-3</v>
      </c>
      <c r="W673" s="35"/>
    </row>
    <row r="674" spans="1:23">
      <c r="A674" s="49"/>
      <c r="B674" s="34"/>
      <c r="C674" s="34"/>
      <c r="D674" s="34"/>
      <c r="E674" s="34"/>
      <c r="F674" s="34"/>
      <c r="G674" s="34"/>
      <c r="H674" s="34"/>
      <c r="I674" s="34"/>
      <c r="J674" s="34"/>
      <c r="K674" s="34"/>
      <c r="L674" s="34"/>
      <c r="M674" s="34"/>
      <c r="N674" s="34"/>
      <c r="O674" s="34"/>
      <c r="P674" s="34"/>
      <c r="Q674" s="34"/>
      <c r="R674" s="34"/>
      <c r="S674" s="34"/>
      <c r="T674" s="34"/>
      <c r="U674" s="34"/>
      <c r="V674" s="182"/>
      <c r="W674" s="35"/>
    </row>
    <row r="675" spans="1:23">
      <c r="A675" s="131" t="s">
        <v>1130</v>
      </c>
      <c r="B675" s="100"/>
      <c r="C675" s="100"/>
      <c r="D675" s="100"/>
      <c r="E675" s="100"/>
      <c r="F675" s="100"/>
      <c r="G675" s="100"/>
      <c r="H675" s="100"/>
      <c r="I675" s="100"/>
      <c r="J675" s="100"/>
      <c r="K675" s="100"/>
      <c r="L675" s="100"/>
      <c r="M675" s="100"/>
      <c r="N675" s="100"/>
      <c r="O675" s="100"/>
      <c r="P675" s="100"/>
      <c r="Q675" s="100"/>
      <c r="R675" s="100"/>
      <c r="S675" s="100"/>
      <c r="T675" s="100"/>
      <c r="U675" s="100"/>
      <c r="V675" s="179"/>
      <c r="W675" s="140"/>
    </row>
    <row r="676" spans="1:23">
      <c r="A676" s="200" t="s">
        <v>679</v>
      </c>
      <c r="B676" s="52">
        <v>0</v>
      </c>
      <c r="C676" s="52">
        <v>0</v>
      </c>
      <c r="D676" s="52">
        <v>0</v>
      </c>
      <c r="E676" s="52">
        <v>0</v>
      </c>
      <c r="F676" s="52">
        <v>0</v>
      </c>
      <c r="G676" s="52">
        <v>0</v>
      </c>
      <c r="H676" s="52">
        <v>0</v>
      </c>
      <c r="I676" s="52">
        <v>0</v>
      </c>
      <c r="J676" s="52">
        <v>0</v>
      </c>
      <c r="K676" s="52">
        <v>0</v>
      </c>
      <c r="L676" s="52">
        <v>0</v>
      </c>
      <c r="M676" s="52">
        <v>0</v>
      </c>
      <c r="N676" s="52">
        <v>0</v>
      </c>
      <c r="O676" s="52">
        <v>0</v>
      </c>
      <c r="P676" s="52">
        <v>0</v>
      </c>
      <c r="Q676" s="52">
        <v>0</v>
      </c>
      <c r="R676" s="52">
        <v>0</v>
      </c>
      <c r="S676" s="52">
        <v>0</v>
      </c>
      <c r="T676" s="52">
        <v>0</v>
      </c>
      <c r="U676" s="52">
        <v>0</v>
      </c>
      <c r="V676" s="180">
        <f>SUM(B676:U676)</f>
        <v>0</v>
      </c>
      <c r="W676" s="53">
        <f>V676/20</f>
        <v>0</v>
      </c>
    </row>
    <row r="677" spans="1:23" s="3" customFormat="1">
      <c r="A677" s="200" t="s">
        <v>680</v>
      </c>
      <c r="B677" s="52">
        <f t="shared" ref="B677:U677" si="1066">B192</f>
        <v>0</v>
      </c>
      <c r="C677" s="52">
        <f t="shared" si="1066"/>
        <v>0</v>
      </c>
      <c r="D677" s="52">
        <f t="shared" si="1066"/>
        <v>0</v>
      </c>
      <c r="E677" s="52">
        <f t="shared" si="1066"/>
        <v>0</v>
      </c>
      <c r="F677" s="52">
        <f t="shared" si="1066"/>
        <v>0</v>
      </c>
      <c r="G677" s="52">
        <f t="shared" si="1066"/>
        <v>0</v>
      </c>
      <c r="H677" s="52">
        <f t="shared" si="1066"/>
        <v>0</v>
      </c>
      <c r="I677" s="52">
        <f t="shared" si="1066"/>
        <v>0</v>
      </c>
      <c r="J677" s="52">
        <f t="shared" si="1066"/>
        <v>0</v>
      </c>
      <c r="K677" s="52">
        <f t="shared" si="1066"/>
        <v>0</v>
      </c>
      <c r="L677" s="52">
        <f t="shared" si="1066"/>
        <v>0</v>
      </c>
      <c r="M677" s="52">
        <f t="shared" si="1066"/>
        <v>0</v>
      </c>
      <c r="N677" s="52">
        <f t="shared" si="1066"/>
        <v>0</v>
      </c>
      <c r="O677" s="52">
        <f t="shared" si="1066"/>
        <v>0</v>
      </c>
      <c r="P677" s="52">
        <f t="shared" si="1066"/>
        <v>0</v>
      </c>
      <c r="Q677" s="52">
        <f t="shared" si="1066"/>
        <v>0</v>
      </c>
      <c r="R677" s="52">
        <f t="shared" si="1066"/>
        <v>0</v>
      </c>
      <c r="S677" s="52">
        <f t="shared" si="1066"/>
        <v>0</v>
      </c>
      <c r="T677" s="52">
        <f t="shared" si="1066"/>
        <v>0</v>
      </c>
      <c r="U677" s="52">
        <f t="shared" si="1066"/>
        <v>0</v>
      </c>
      <c r="V677" s="180">
        <f t="shared" ref="V677:V678" si="1067">SUM(B677:U677)</f>
        <v>0</v>
      </c>
      <c r="W677" s="53">
        <f t="shared" ref="W677:W678" si="1068">V677/20</f>
        <v>0</v>
      </c>
    </row>
    <row r="678" spans="1:23" ht="13.5" customHeight="1">
      <c r="A678" s="49" t="s">
        <v>664</v>
      </c>
      <c r="B678" s="34">
        <f>SUM(B676:B677)</f>
        <v>0</v>
      </c>
      <c r="C678" s="34">
        <f t="shared" ref="C678" si="1069">SUM(C676:C677)</f>
        <v>0</v>
      </c>
      <c r="D678" s="34">
        <f t="shared" ref="D678" si="1070">SUM(D676:D677)</f>
        <v>0</v>
      </c>
      <c r="E678" s="34">
        <f t="shared" ref="E678" si="1071">SUM(E676:E677)</f>
        <v>0</v>
      </c>
      <c r="F678" s="34">
        <f t="shared" ref="F678" si="1072">SUM(F676:F677)</f>
        <v>0</v>
      </c>
      <c r="G678" s="34">
        <f t="shared" ref="G678" si="1073">SUM(G676:G677)</f>
        <v>0</v>
      </c>
      <c r="H678" s="34">
        <f t="shared" ref="H678" si="1074">SUM(H676:H677)</f>
        <v>0</v>
      </c>
      <c r="I678" s="34">
        <f t="shared" ref="I678" si="1075">SUM(I676:I677)</f>
        <v>0</v>
      </c>
      <c r="J678" s="34">
        <f t="shared" ref="J678" si="1076">SUM(J676:J677)</f>
        <v>0</v>
      </c>
      <c r="K678" s="34">
        <f t="shared" ref="K678" si="1077">SUM(K676:K677)</f>
        <v>0</v>
      </c>
      <c r="L678" s="34">
        <f t="shared" ref="L678" si="1078">SUM(L676:L677)</f>
        <v>0</v>
      </c>
      <c r="M678" s="34">
        <f t="shared" ref="M678" si="1079">SUM(M676:M677)</f>
        <v>0</v>
      </c>
      <c r="N678" s="34">
        <f t="shared" ref="N678" si="1080">SUM(N676:N677)</f>
        <v>0</v>
      </c>
      <c r="O678" s="34">
        <f t="shared" ref="O678" si="1081">SUM(O676:O677)</f>
        <v>0</v>
      </c>
      <c r="P678" s="34">
        <f t="shared" ref="P678" si="1082">SUM(P676:P677)</f>
        <v>0</v>
      </c>
      <c r="Q678" s="34">
        <f t="shared" ref="Q678" si="1083">SUM(Q676:Q677)</f>
        <v>0</v>
      </c>
      <c r="R678" s="34">
        <f t="shared" ref="R678" si="1084">SUM(R676:R677)</f>
        <v>0</v>
      </c>
      <c r="S678" s="34">
        <f t="shared" ref="S678" si="1085">SUM(S676:S677)</f>
        <v>0</v>
      </c>
      <c r="T678" s="34">
        <f t="shared" ref="T678" si="1086">SUM(T676:T677)</f>
        <v>0</v>
      </c>
      <c r="U678" s="34">
        <f t="shared" ref="U678" si="1087">SUM(U676:U677)</f>
        <v>0</v>
      </c>
      <c r="V678" s="180">
        <f t="shared" si="1067"/>
        <v>0</v>
      </c>
      <c r="W678" s="53">
        <f t="shared" si="1068"/>
        <v>0</v>
      </c>
    </row>
    <row r="679" spans="1:23" s="81" customFormat="1">
      <c r="A679" s="134" t="s">
        <v>123</v>
      </c>
      <c r="B679" s="52">
        <v>0.96618357487922713</v>
      </c>
      <c r="C679" s="52">
        <v>0.93351070036640305</v>
      </c>
      <c r="D679" s="52">
        <v>0.90194270566802237</v>
      </c>
      <c r="E679" s="52">
        <v>0.87144222769857238</v>
      </c>
      <c r="F679" s="52">
        <v>0.84197316685852419</v>
      </c>
      <c r="G679" s="52">
        <v>0.81350064430775282</v>
      </c>
      <c r="H679" s="52">
        <v>0.78599096068381913</v>
      </c>
      <c r="I679" s="52">
        <v>0.75941155621625056</v>
      </c>
      <c r="J679" s="52">
        <v>0.73373097218961414</v>
      </c>
      <c r="K679" s="52">
        <v>0.70891881370977217</v>
      </c>
      <c r="L679" s="52">
        <v>0.68494571372924851</v>
      </c>
      <c r="M679" s="52">
        <v>0.66178329828912896</v>
      </c>
      <c r="N679" s="52">
        <v>0.63940415293635666</v>
      </c>
      <c r="O679" s="52">
        <v>0.61778179027667302</v>
      </c>
      <c r="P679" s="52">
        <v>0.59689061862480497</v>
      </c>
      <c r="Q679" s="52">
        <v>0.57670591171478747</v>
      </c>
      <c r="R679" s="52">
        <v>0.55720377943457733</v>
      </c>
      <c r="S679" s="52">
        <v>0.53836113955031628</v>
      </c>
      <c r="T679" s="52">
        <v>0.52015569038677911</v>
      </c>
      <c r="U679" s="52">
        <v>0.50256588443167061</v>
      </c>
      <c r="V679" s="180"/>
      <c r="W679" s="133"/>
    </row>
    <row r="680" spans="1:23" s="81" customFormat="1">
      <c r="A680" s="50" t="s">
        <v>1069</v>
      </c>
      <c r="B680" s="34">
        <f t="shared" ref="B680:U680" si="1088">B679*B678</f>
        <v>0</v>
      </c>
      <c r="C680" s="34">
        <f t="shared" si="1088"/>
        <v>0</v>
      </c>
      <c r="D680" s="34">
        <f t="shared" si="1088"/>
        <v>0</v>
      </c>
      <c r="E680" s="34">
        <f t="shared" si="1088"/>
        <v>0</v>
      </c>
      <c r="F680" s="34">
        <f t="shared" si="1088"/>
        <v>0</v>
      </c>
      <c r="G680" s="34">
        <f t="shared" si="1088"/>
        <v>0</v>
      </c>
      <c r="H680" s="34">
        <f t="shared" si="1088"/>
        <v>0</v>
      </c>
      <c r="I680" s="34">
        <f t="shared" si="1088"/>
        <v>0</v>
      </c>
      <c r="J680" s="34">
        <f t="shared" si="1088"/>
        <v>0</v>
      </c>
      <c r="K680" s="34">
        <f t="shared" si="1088"/>
        <v>0</v>
      </c>
      <c r="L680" s="34">
        <f t="shared" si="1088"/>
        <v>0</v>
      </c>
      <c r="M680" s="34">
        <f t="shared" si="1088"/>
        <v>0</v>
      </c>
      <c r="N680" s="34">
        <f t="shared" si="1088"/>
        <v>0</v>
      </c>
      <c r="O680" s="34">
        <f t="shared" si="1088"/>
        <v>0</v>
      </c>
      <c r="P680" s="34">
        <f t="shared" si="1088"/>
        <v>0</v>
      </c>
      <c r="Q680" s="34">
        <f t="shared" si="1088"/>
        <v>0</v>
      </c>
      <c r="R680" s="34">
        <f t="shared" si="1088"/>
        <v>0</v>
      </c>
      <c r="S680" s="34">
        <f t="shared" si="1088"/>
        <v>0</v>
      </c>
      <c r="T680" s="34">
        <f t="shared" si="1088"/>
        <v>0</v>
      </c>
      <c r="U680" s="34">
        <f t="shared" si="1088"/>
        <v>0</v>
      </c>
      <c r="V680" s="182">
        <f>SUM(B680:U680)</f>
        <v>0</v>
      </c>
      <c r="W680" s="35"/>
    </row>
    <row r="681" spans="1:23">
      <c r="A681" s="49"/>
      <c r="B681" s="34"/>
      <c r="C681" s="34"/>
      <c r="D681" s="34"/>
      <c r="E681" s="34"/>
      <c r="F681" s="34"/>
      <c r="G681" s="34"/>
      <c r="H681" s="34"/>
      <c r="I681" s="34"/>
      <c r="J681" s="34"/>
      <c r="K681" s="34"/>
      <c r="L681" s="34"/>
      <c r="M681" s="34"/>
      <c r="N681" s="34"/>
      <c r="O681" s="34"/>
      <c r="P681" s="34"/>
      <c r="Q681" s="34"/>
      <c r="R681" s="34"/>
      <c r="S681" s="34"/>
      <c r="T681" s="34"/>
      <c r="U681" s="34"/>
      <c r="V681" s="182"/>
      <c r="W681" s="35"/>
    </row>
    <row r="682" spans="1:23">
      <c r="A682" s="131" t="s">
        <v>1131</v>
      </c>
      <c r="B682" s="100"/>
      <c r="C682" s="100"/>
      <c r="D682" s="100"/>
      <c r="E682" s="100"/>
      <c r="F682" s="100"/>
      <c r="G682" s="100"/>
      <c r="H682" s="100"/>
      <c r="I682" s="100"/>
      <c r="J682" s="100"/>
      <c r="K682" s="100"/>
      <c r="L682" s="100"/>
      <c r="M682" s="100"/>
      <c r="N682" s="100"/>
      <c r="O682" s="100"/>
      <c r="P682" s="100"/>
      <c r="Q682" s="100"/>
      <c r="R682" s="100"/>
      <c r="S682" s="100"/>
      <c r="T682" s="100"/>
      <c r="U682" s="100"/>
      <c r="V682" s="179"/>
      <c r="W682" s="140"/>
    </row>
    <row r="683" spans="1:23">
      <c r="A683" s="200" t="s">
        <v>679</v>
      </c>
      <c r="B683" s="52">
        <v>0</v>
      </c>
      <c r="C683" s="52">
        <v>0</v>
      </c>
      <c r="D683" s="52">
        <v>0</v>
      </c>
      <c r="E683" s="52">
        <v>0</v>
      </c>
      <c r="F683" s="52">
        <v>0</v>
      </c>
      <c r="G683" s="52">
        <v>0</v>
      </c>
      <c r="H683" s="52">
        <v>0</v>
      </c>
      <c r="I683" s="52">
        <v>0</v>
      </c>
      <c r="J683" s="52">
        <v>0</v>
      </c>
      <c r="K683" s="52">
        <v>0</v>
      </c>
      <c r="L683" s="52">
        <v>0</v>
      </c>
      <c r="M683" s="52">
        <v>0</v>
      </c>
      <c r="N683" s="52">
        <v>0</v>
      </c>
      <c r="O683" s="52">
        <v>0</v>
      </c>
      <c r="P683" s="52">
        <v>0</v>
      </c>
      <c r="Q683" s="52">
        <v>0</v>
      </c>
      <c r="R683" s="52">
        <v>0</v>
      </c>
      <c r="S683" s="52">
        <v>0</v>
      </c>
      <c r="T683" s="52">
        <v>0</v>
      </c>
      <c r="U683" s="52">
        <v>0</v>
      </c>
      <c r="V683" s="180">
        <f>SUM(B683:U683)</f>
        <v>0</v>
      </c>
      <c r="W683" s="53">
        <f>V683/20</f>
        <v>0</v>
      </c>
    </row>
    <row r="684" spans="1:23" s="3" customFormat="1">
      <c r="A684" s="200" t="s">
        <v>680</v>
      </c>
      <c r="B684" s="52">
        <f>('Scenario 2 Assumptions'!$B$279*('Scenario 2 Assumptions'!$B$346*0.5)/20)</f>
        <v>1.6875000000000001E-4</v>
      </c>
      <c r="C684" s="52">
        <f>('Scenario 2 Assumptions'!$B$279*('Scenario 2 Assumptions'!$B$346*0.5)/20)</f>
        <v>1.6875000000000001E-4</v>
      </c>
      <c r="D684" s="52">
        <f>('Scenario 2 Assumptions'!$B$279*('Scenario 2 Assumptions'!$B$346*0.5)/20)</f>
        <v>1.6875000000000001E-4</v>
      </c>
      <c r="E684" s="52">
        <f>('Scenario 2 Assumptions'!$B$279*('Scenario 2 Assumptions'!$B$346*0.5)/20)</f>
        <v>1.6875000000000001E-4</v>
      </c>
      <c r="F684" s="52">
        <f>('Scenario 2 Assumptions'!$B$279*('Scenario 2 Assumptions'!$B$346*0.5)/20)</f>
        <v>1.6875000000000001E-4</v>
      </c>
      <c r="G684" s="52">
        <f>('Scenario 2 Assumptions'!$B$279*('Scenario 2 Assumptions'!$B$346*0.5)/20)</f>
        <v>1.6875000000000001E-4</v>
      </c>
      <c r="H684" s="52">
        <f>('Scenario 2 Assumptions'!$B$279*('Scenario 2 Assumptions'!$B$346*0.5)/20)</f>
        <v>1.6875000000000001E-4</v>
      </c>
      <c r="I684" s="52">
        <f>('Scenario 2 Assumptions'!$B$279*('Scenario 2 Assumptions'!$B$346*0.5)/20)</f>
        <v>1.6875000000000001E-4</v>
      </c>
      <c r="J684" s="52">
        <f>('Scenario 2 Assumptions'!$B$279*('Scenario 2 Assumptions'!$B$346*0.5)/20)</f>
        <v>1.6875000000000001E-4</v>
      </c>
      <c r="K684" s="52">
        <f>('Scenario 2 Assumptions'!$B$279*('Scenario 2 Assumptions'!$B$346*0.5)/20)</f>
        <v>1.6875000000000001E-4</v>
      </c>
      <c r="L684" s="52">
        <f>('Scenario 2 Assumptions'!$B$279*('Scenario 2 Assumptions'!$B$346*0.5)/20)</f>
        <v>1.6875000000000001E-4</v>
      </c>
      <c r="M684" s="52">
        <f>('Scenario 2 Assumptions'!$B$279*('Scenario 2 Assumptions'!$B$346*0.5)/20)</f>
        <v>1.6875000000000001E-4</v>
      </c>
      <c r="N684" s="52">
        <f>('Scenario 2 Assumptions'!$B$279*('Scenario 2 Assumptions'!$B$346*0.5)/20)</f>
        <v>1.6875000000000001E-4</v>
      </c>
      <c r="O684" s="52">
        <f>('Scenario 2 Assumptions'!$B$279*('Scenario 2 Assumptions'!$B$346*0.5)/20)</f>
        <v>1.6875000000000001E-4</v>
      </c>
      <c r="P684" s="52">
        <f>('Scenario 2 Assumptions'!$B$279*('Scenario 2 Assumptions'!$B$346*0.5)/20)</f>
        <v>1.6875000000000001E-4</v>
      </c>
      <c r="Q684" s="52">
        <f>('Scenario 2 Assumptions'!$B$279*('Scenario 2 Assumptions'!$B$346*0.5)/20)</f>
        <v>1.6875000000000001E-4</v>
      </c>
      <c r="R684" s="52">
        <f>('Scenario 2 Assumptions'!$B$279*('Scenario 2 Assumptions'!$B$346*0.5)/20)</f>
        <v>1.6875000000000001E-4</v>
      </c>
      <c r="S684" s="52">
        <f>('Scenario 2 Assumptions'!$B$279*('Scenario 2 Assumptions'!$B$346*0.5)/20)</f>
        <v>1.6875000000000001E-4</v>
      </c>
      <c r="T684" s="52">
        <f>('Scenario 2 Assumptions'!$B$279*('Scenario 2 Assumptions'!$B$346*0.5)/20)</f>
        <v>1.6875000000000001E-4</v>
      </c>
      <c r="U684" s="52">
        <f>('Scenario 2 Assumptions'!$B$279*('Scenario 2 Assumptions'!$B$346*0.5)/20)</f>
        <v>1.6875000000000001E-4</v>
      </c>
      <c r="V684" s="180">
        <f t="shared" ref="V684:V685" si="1089">SUM(B684:U684)</f>
        <v>3.3750000000000008E-3</v>
      </c>
      <c r="W684" s="53">
        <f t="shared" ref="W684:W685" si="1090">V684/20</f>
        <v>1.6875000000000004E-4</v>
      </c>
    </row>
    <row r="685" spans="1:23" ht="13.5" customHeight="1">
      <c r="A685" s="49" t="s">
        <v>664</v>
      </c>
      <c r="B685" s="34">
        <f>SUM(B683:B684)</f>
        <v>1.6875000000000001E-4</v>
      </c>
      <c r="C685" s="34">
        <f t="shared" ref="C685" si="1091">SUM(C683:C684)</f>
        <v>1.6875000000000001E-4</v>
      </c>
      <c r="D685" s="34">
        <f t="shared" ref="D685" si="1092">SUM(D683:D684)</f>
        <v>1.6875000000000001E-4</v>
      </c>
      <c r="E685" s="34">
        <f t="shared" ref="E685" si="1093">SUM(E683:E684)</f>
        <v>1.6875000000000001E-4</v>
      </c>
      <c r="F685" s="34">
        <f t="shared" ref="F685" si="1094">SUM(F683:F684)</f>
        <v>1.6875000000000001E-4</v>
      </c>
      <c r="G685" s="34">
        <f t="shared" ref="G685" si="1095">SUM(G683:G684)</f>
        <v>1.6875000000000001E-4</v>
      </c>
      <c r="H685" s="34">
        <f t="shared" ref="H685" si="1096">SUM(H683:H684)</f>
        <v>1.6875000000000001E-4</v>
      </c>
      <c r="I685" s="34">
        <f t="shared" ref="I685" si="1097">SUM(I683:I684)</f>
        <v>1.6875000000000001E-4</v>
      </c>
      <c r="J685" s="34">
        <f t="shared" ref="J685" si="1098">SUM(J683:J684)</f>
        <v>1.6875000000000001E-4</v>
      </c>
      <c r="K685" s="34">
        <f t="shared" ref="K685" si="1099">SUM(K683:K684)</f>
        <v>1.6875000000000001E-4</v>
      </c>
      <c r="L685" s="34">
        <f t="shared" ref="L685" si="1100">SUM(L683:L684)</f>
        <v>1.6875000000000001E-4</v>
      </c>
      <c r="M685" s="34">
        <f t="shared" ref="M685" si="1101">SUM(M683:M684)</f>
        <v>1.6875000000000001E-4</v>
      </c>
      <c r="N685" s="34">
        <f t="shared" ref="N685" si="1102">SUM(N683:N684)</f>
        <v>1.6875000000000001E-4</v>
      </c>
      <c r="O685" s="34">
        <f t="shared" ref="O685" si="1103">SUM(O683:O684)</f>
        <v>1.6875000000000001E-4</v>
      </c>
      <c r="P685" s="34">
        <f t="shared" ref="P685" si="1104">SUM(P683:P684)</f>
        <v>1.6875000000000001E-4</v>
      </c>
      <c r="Q685" s="34">
        <f t="shared" ref="Q685" si="1105">SUM(Q683:Q684)</f>
        <v>1.6875000000000001E-4</v>
      </c>
      <c r="R685" s="34">
        <f t="shared" ref="R685" si="1106">SUM(R683:R684)</f>
        <v>1.6875000000000001E-4</v>
      </c>
      <c r="S685" s="34">
        <f t="shared" ref="S685" si="1107">SUM(S683:S684)</f>
        <v>1.6875000000000001E-4</v>
      </c>
      <c r="T685" s="34">
        <f t="shared" ref="T685" si="1108">SUM(T683:T684)</f>
        <v>1.6875000000000001E-4</v>
      </c>
      <c r="U685" s="34">
        <f t="shared" ref="U685" si="1109">SUM(U683:U684)</f>
        <v>1.6875000000000001E-4</v>
      </c>
      <c r="V685" s="180">
        <f t="shared" si="1089"/>
        <v>3.3750000000000008E-3</v>
      </c>
      <c r="W685" s="53">
        <f t="shared" si="1090"/>
        <v>1.6875000000000004E-4</v>
      </c>
    </row>
    <row r="686" spans="1:23" s="81" customFormat="1">
      <c r="A686" s="134" t="s">
        <v>123</v>
      </c>
      <c r="B686" s="52">
        <v>0.96618357487922713</v>
      </c>
      <c r="C686" s="52">
        <v>0.93351070036640305</v>
      </c>
      <c r="D686" s="52">
        <v>0.90194270566802237</v>
      </c>
      <c r="E686" s="52">
        <v>0.87144222769857238</v>
      </c>
      <c r="F686" s="52">
        <v>0.84197316685852419</v>
      </c>
      <c r="G686" s="52">
        <v>0.81350064430775282</v>
      </c>
      <c r="H686" s="52">
        <v>0.78599096068381913</v>
      </c>
      <c r="I686" s="52">
        <v>0.75941155621625056</v>
      </c>
      <c r="J686" s="52">
        <v>0.73373097218961414</v>
      </c>
      <c r="K686" s="52">
        <v>0.70891881370977217</v>
      </c>
      <c r="L686" s="52">
        <v>0.68494571372924851</v>
      </c>
      <c r="M686" s="52">
        <v>0.66178329828912896</v>
      </c>
      <c r="N686" s="52">
        <v>0.63940415293635666</v>
      </c>
      <c r="O686" s="52">
        <v>0.61778179027667302</v>
      </c>
      <c r="P686" s="52">
        <v>0.59689061862480497</v>
      </c>
      <c r="Q686" s="52">
        <v>0.57670591171478747</v>
      </c>
      <c r="R686" s="52">
        <v>0.55720377943457733</v>
      </c>
      <c r="S686" s="52">
        <v>0.53836113955031628</v>
      </c>
      <c r="T686" s="52">
        <v>0.52015569038677911</v>
      </c>
      <c r="U686" s="52">
        <v>0.50256588443167061</v>
      </c>
      <c r="V686" s="180"/>
      <c r="W686" s="133"/>
    </row>
    <row r="687" spans="1:23" s="81" customFormat="1">
      <c r="A687" s="50" t="s">
        <v>1069</v>
      </c>
      <c r="B687" s="34">
        <f t="shared" ref="B687:U687" si="1110">B686*B685</f>
        <v>1.6304347826086958E-4</v>
      </c>
      <c r="C687" s="34">
        <f t="shared" si="1110"/>
        <v>1.5752993068683053E-4</v>
      </c>
      <c r="D687" s="34">
        <f t="shared" si="1110"/>
        <v>1.5220283158147877E-4</v>
      </c>
      <c r="E687" s="34">
        <f t="shared" si="1110"/>
        <v>1.4705587592413411E-4</v>
      </c>
      <c r="F687" s="34">
        <f t="shared" si="1110"/>
        <v>1.4208297190737598E-4</v>
      </c>
      <c r="G687" s="34">
        <f t="shared" si="1110"/>
        <v>1.372782337269333E-4</v>
      </c>
      <c r="H687" s="34">
        <f t="shared" si="1110"/>
        <v>1.3263597461539447E-4</v>
      </c>
      <c r="I687" s="34">
        <f t="shared" si="1110"/>
        <v>1.281507001114923E-4</v>
      </c>
      <c r="J687" s="34">
        <f t="shared" si="1110"/>
        <v>1.238171015569974E-4</v>
      </c>
      <c r="K687" s="34">
        <f t="shared" si="1110"/>
        <v>1.1963004981352407E-4</v>
      </c>
      <c r="L687" s="34">
        <f t="shared" si="1110"/>
        <v>1.1558458919181069E-4</v>
      </c>
      <c r="M687" s="34">
        <f t="shared" si="1110"/>
        <v>1.1167593158629052E-4</v>
      </c>
      <c r="N687" s="34">
        <f t="shared" si="1110"/>
        <v>1.0789945080801019E-4</v>
      </c>
      <c r="O687" s="34">
        <f t="shared" si="1110"/>
        <v>1.0425067710918858E-4</v>
      </c>
      <c r="P687" s="34">
        <f t="shared" si="1110"/>
        <v>1.0072529189293584E-4</v>
      </c>
      <c r="Q687" s="34">
        <f t="shared" si="1110"/>
        <v>9.7319122601870396E-5</v>
      </c>
      <c r="R687" s="34">
        <f t="shared" si="1110"/>
        <v>9.402813777958493E-5</v>
      </c>
      <c r="S687" s="34">
        <f t="shared" si="1110"/>
        <v>9.0848442299115879E-5</v>
      </c>
      <c r="T687" s="34">
        <f t="shared" si="1110"/>
        <v>8.7776272752768973E-5</v>
      </c>
      <c r="U687" s="34">
        <f t="shared" si="1110"/>
        <v>8.4807992997844422E-5</v>
      </c>
      <c r="V687" s="182">
        <f>SUM(B687:U687)</f>
        <v>2.3983430572044511E-3</v>
      </c>
      <c r="W687" s="35"/>
    </row>
    <row r="688" spans="1:23">
      <c r="A688" s="49"/>
      <c r="B688" s="34"/>
      <c r="C688" s="34"/>
      <c r="D688" s="34"/>
      <c r="E688" s="34"/>
      <c r="F688" s="34"/>
      <c r="G688" s="34"/>
      <c r="H688" s="34"/>
      <c r="I688" s="34"/>
      <c r="J688" s="34"/>
      <c r="K688" s="34"/>
      <c r="L688" s="34"/>
      <c r="M688" s="34"/>
      <c r="N688" s="34"/>
      <c r="O688" s="34"/>
      <c r="P688" s="34"/>
      <c r="Q688" s="34"/>
      <c r="R688" s="34"/>
      <c r="S688" s="34"/>
      <c r="T688" s="34"/>
      <c r="U688" s="34"/>
      <c r="V688" s="182"/>
      <c r="W688" s="35"/>
    </row>
    <row r="689" spans="1:23">
      <c r="A689" s="131" t="s">
        <v>1132</v>
      </c>
      <c r="B689" s="100"/>
      <c r="C689" s="100"/>
      <c r="D689" s="100"/>
      <c r="E689" s="100"/>
      <c r="F689" s="100"/>
      <c r="G689" s="100"/>
      <c r="H689" s="100"/>
      <c r="I689" s="100"/>
      <c r="J689" s="100"/>
      <c r="K689" s="100"/>
      <c r="L689" s="100"/>
      <c r="M689" s="100"/>
      <c r="N689" s="100"/>
      <c r="O689" s="100"/>
      <c r="P689" s="100"/>
      <c r="Q689" s="100"/>
      <c r="R689" s="100"/>
      <c r="S689" s="100"/>
      <c r="T689" s="100"/>
      <c r="U689" s="100"/>
      <c r="V689" s="179"/>
      <c r="W689" s="140"/>
    </row>
    <row r="690" spans="1:23">
      <c r="A690" s="200" t="s">
        <v>679</v>
      </c>
      <c r="B690" s="52">
        <v>0</v>
      </c>
      <c r="C690" s="52">
        <v>0</v>
      </c>
      <c r="D690" s="52">
        <v>0</v>
      </c>
      <c r="E690" s="52">
        <v>0</v>
      </c>
      <c r="F690" s="52">
        <v>0</v>
      </c>
      <c r="G690" s="52">
        <v>0</v>
      </c>
      <c r="H690" s="52">
        <v>0</v>
      </c>
      <c r="I690" s="52">
        <v>0</v>
      </c>
      <c r="J690" s="52">
        <v>0</v>
      </c>
      <c r="K690" s="52">
        <v>0</v>
      </c>
      <c r="L690" s="52">
        <v>0</v>
      </c>
      <c r="M690" s="52">
        <v>0</v>
      </c>
      <c r="N690" s="52">
        <v>0</v>
      </c>
      <c r="O690" s="52">
        <v>0</v>
      </c>
      <c r="P690" s="52">
        <v>0</v>
      </c>
      <c r="Q690" s="52">
        <v>0</v>
      </c>
      <c r="R690" s="52">
        <v>0</v>
      </c>
      <c r="S690" s="52">
        <v>0</v>
      </c>
      <c r="T690" s="52">
        <v>0</v>
      </c>
      <c r="U690" s="52">
        <v>0</v>
      </c>
      <c r="V690" s="180">
        <f>SUM(B690:U690)</f>
        <v>0</v>
      </c>
      <c r="W690" s="53">
        <f>V690/20</f>
        <v>0</v>
      </c>
    </row>
    <row r="691" spans="1:23" s="3" customFormat="1">
      <c r="A691" s="200" t="s">
        <v>680</v>
      </c>
      <c r="B691" s="52">
        <f>('Scenario 2 Assumptions'!$B$279*('Scenario 2 Assumptions'!$B$341*0.5)/20)</f>
        <v>1.6875000000000001E-4</v>
      </c>
      <c r="C691" s="52">
        <f>('Scenario 2 Assumptions'!$B$279*('Scenario 2 Assumptions'!$B$341*0.5)/20)</f>
        <v>1.6875000000000001E-4</v>
      </c>
      <c r="D691" s="52">
        <f>('Scenario 2 Assumptions'!$B$279*('Scenario 2 Assumptions'!$B$341*0.5)/20)</f>
        <v>1.6875000000000001E-4</v>
      </c>
      <c r="E691" s="52">
        <f>('Scenario 2 Assumptions'!$B$279*('Scenario 2 Assumptions'!$B$341*0.5)/20)</f>
        <v>1.6875000000000001E-4</v>
      </c>
      <c r="F691" s="52">
        <f>('Scenario 2 Assumptions'!$B$279*('Scenario 2 Assumptions'!$B$341*0.5)/20)</f>
        <v>1.6875000000000001E-4</v>
      </c>
      <c r="G691" s="52">
        <f>('Scenario 2 Assumptions'!$B$279*('Scenario 2 Assumptions'!$B$341*0.5)/20)</f>
        <v>1.6875000000000001E-4</v>
      </c>
      <c r="H691" s="52">
        <f>('Scenario 2 Assumptions'!$B$279*('Scenario 2 Assumptions'!$B$341*0.5)/20)</f>
        <v>1.6875000000000001E-4</v>
      </c>
      <c r="I691" s="52">
        <f>('Scenario 2 Assumptions'!$B$279*('Scenario 2 Assumptions'!$B$341*0.5)/20)</f>
        <v>1.6875000000000001E-4</v>
      </c>
      <c r="J691" s="52">
        <f>('Scenario 2 Assumptions'!$B$279*('Scenario 2 Assumptions'!$B$341*0.5)/20)</f>
        <v>1.6875000000000001E-4</v>
      </c>
      <c r="K691" s="52">
        <f>('Scenario 2 Assumptions'!$B$279*('Scenario 2 Assumptions'!$B$341*0.5)/20)</f>
        <v>1.6875000000000001E-4</v>
      </c>
      <c r="L691" s="52">
        <f>('Scenario 2 Assumptions'!$B$279*('Scenario 2 Assumptions'!$B$341*0.5)/20)</f>
        <v>1.6875000000000001E-4</v>
      </c>
      <c r="M691" s="52">
        <f>('Scenario 2 Assumptions'!$B$279*('Scenario 2 Assumptions'!$B$341*0.5)/20)</f>
        <v>1.6875000000000001E-4</v>
      </c>
      <c r="N691" s="52">
        <f>('Scenario 2 Assumptions'!$B$279*('Scenario 2 Assumptions'!$B$341*0.5)/20)</f>
        <v>1.6875000000000001E-4</v>
      </c>
      <c r="O691" s="52">
        <f>('Scenario 2 Assumptions'!$B$279*('Scenario 2 Assumptions'!$B$341*0.5)/20)</f>
        <v>1.6875000000000001E-4</v>
      </c>
      <c r="P691" s="52">
        <f>('Scenario 2 Assumptions'!$B$279*('Scenario 2 Assumptions'!$B$341*0.5)/20)</f>
        <v>1.6875000000000001E-4</v>
      </c>
      <c r="Q691" s="52">
        <f>('Scenario 2 Assumptions'!$B$279*('Scenario 2 Assumptions'!$B$341*0.5)/20)</f>
        <v>1.6875000000000001E-4</v>
      </c>
      <c r="R691" s="52">
        <f>('Scenario 2 Assumptions'!$B$279*('Scenario 2 Assumptions'!$B$341*0.5)/20)</f>
        <v>1.6875000000000001E-4</v>
      </c>
      <c r="S691" s="52">
        <f>('Scenario 2 Assumptions'!$B$279*('Scenario 2 Assumptions'!$B$341*0.5)/20)</f>
        <v>1.6875000000000001E-4</v>
      </c>
      <c r="T691" s="52">
        <f>('Scenario 2 Assumptions'!$B$279*('Scenario 2 Assumptions'!$B$341*0.5)/20)</f>
        <v>1.6875000000000001E-4</v>
      </c>
      <c r="U691" s="52">
        <f>('Scenario 2 Assumptions'!$B$279*('Scenario 2 Assumptions'!$B$341*0.5)/20)</f>
        <v>1.6875000000000001E-4</v>
      </c>
      <c r="V691" s="180">
        <f t="shared" ref="V691:V692" si="1111">SUM(B691:U691)</f>
        <v>3.3750000000000008E-3</v>
      </c>
      <c r="W691" s="53">
        <f t="shared" ref="W691:W692" si="1112">V691/20</f>
        <v>1.6875000000000004E-4</v>
      </c>
    </row>
    <row r="692" spans="1:23" ht="13.5" customHeight="1">
      <c r="A692" s="49" t="s">
        <v>664</v>
      </c>
      <c r="B692" s="34">
        <f>SUM(B690:B691)</f>
        <v>1.6875000000000001E-4</v>
      </c>
      <c r="C692" s="34">
        <f t="shared" ref="C692" si="1113">SUM(C690:C691)</f>
        <v>1.6875000000000001E-4</v>
      </c>
      <c r="D692" s="34">
        <f t="shared" ref="D692" si="1114">SUM(D690:D691)</f>
        <v>1.6875000000000001E-4</v>
      </c>
      <c r="E692" s="34">
        <f t="shared" ref="E692" si="1115">SUM(E690:E691)</f>
        <v>1.6875000000000001E-4</v>
      </c>
      <c r="F692" s="34">
        <f t="shared" ref="F692" si="1116">SUM(F690:F691)</f>
        <v>1.6875000000000001E-4</v>
      </c>
      <c r="G692" s="34">
        <f t="shared" ref="G692" si="1117">SUM(G690:G691)</f>
        <v>1.6875000000000001E-4</v>
      </c>
      <c r="H692" s="34">
        <f t="shared" ref="H692" si="1118">SUM(H690:H691)</f>
        <v>1.6875000000000001E-4</v>
      </c>
      <c r="I692" s="34">
        <f t="shared" ref="I692" si="1119">SUM(I690:I691)</f>
        <v>1.6875000000000001E-4</v>
      </c>
      <c r="J692" s="34">
        <f t="shared" ref="J692" si="1120">SUM(J690:J691)</f>
        <v>1.6875000000000001E-4</v>
      </c>
      <c r="K692" s="34">
        <f t="shared" ref="K692" si="1121">SUM(K690:K691)</f>
        <v>1.6875000000000001E-4</v>
      </c>
      <c r="L692" s="34">
        <f t="shared" ref="L692" si="1122">SUM(L690:L691)</f>
        <v>1.6875000000000001E-4</v>
      </c>
      <c r="M692" s="34">
        <f t="shared" ref="M692" si="1123">SUM(M690:M691)</f>
        <v>1.6875000000000001E-4</v>
      </c>
      <c r="N692" s="34">
        <f t="shared" ref="N692" si="1124">SUM(N690:N691)</f>
        <v>1.6875000000000001E-4</v>
      </c>
      <c r="O692" s="34">
        <f t="shared" ref="O692" si="1125">SUM(O690:O691)</f>
        <v>1.6875000000000001E-4</v>
      </c>
      <c r="P692" s="34">
        <f t="shared" ref="P692" si="1126">SUM(P690:P691)</f>
        <v>1.6875000000000001E-4</v>
      </c>
      <c r="Q692" s="34">
        <f t="shared" ref="Q692" si="1127">SUM(Q690:Q691)</f>
        <v>1.6875000000000001E-4</v>
      </c>
      <c r="R692" s="34">
        <f t="shared" ref="R692" si="1128">SUM(R690:R691)</f>
        <v>1.6875000000000001E-4</v>
      </c>
      <c r="S692" s="34">
        <f t="shared" ref="S692" si="1129">SUM(S690:S691)</f>
        <v>1.6875000000000001E-4</v>
      </c>
      <c r="T692" s="34">
        <f t="shared" ref="T692" si="1130">SUM(T690:T691)</f>
        <v>1.6875000000000001E-4</v>
      </c>
      <c r="U692" s="34">
        <f t="shared" ref="U692" si="1131">SUM(U690:U691)</f>
        <v>1.6875000000000001E-4</v>
      </c>
      <c r="V692" s="180">
        <f t="shared" si="1111"/>
        <v>3.3750000000000008E-3</v>
      </c>
      <c r="W692" s="53">
        <f t="shared" si="1112"/>
        <v>1.6875000000000004E-4</v>
      </c>
    </row>
    <row r="693" spans="1:23" s="81" customFormat="1">
      <c r="A693" s="134" t="s">
        <v>123</v>
      </c>
      <c r="B693" s="52">
        <v>0.96618357487922713</v>
      </c>
      <c r="C693" s="52">
        <v>0.93351070036640305</v>
      </c>
      <c r="D693" s="52">
        <v>0.90194270566802237</v>
      </c>
      <c r="E693" s="52">
        <v>0.87144222769857238</v>
      </c>
      <c r="F693" s="52">
        <v>0.84197316685852419</v>
      </c>
      <c r="G693" s="52">
        <v>0.81350064430775282</v>
      </c>
      <c r="H693" s="52">
        <v>0.78599096068381913</v>
      </c>
      <c r="I693" s="52">
        <v>0.75941155621625056</v>
      </c>
      <c r="J693" s="52">
        <v>0.73373097218961414</v>
      </c>
      <c r="K693" s="52">
        <v>0.70891881370977217</v>
      </c>
      <c r="L693" s="52">
        <v>0.68494571372924851</v>
      </c>
      <c r="M693" s="52">
        <v>0.66178329828912896</v>
      </c>
      <c r="N693" s="52">
        <v>0.63940415293635666</v>
      </c>
      <c r="O693" s="52">
        <v>0.61778179027667302</v>
      </c>
      <c r="P693" s="52">
        <v>0.59689061862480497</v>
      </c>
      <c r="Q693" s="52">
        <v>0.57670591171478747</v>
      </c>
      <c r="R693" s="52">
        <v>0.55720377943457733</v>
      </c>
      <c r="S693" s="52">
        <v>0.53836113955031628</v>
      </c>
      <c r="T693" s="52">
        <v>0.52015569038677911</v>
      </c>
      <c r="U693" s="52">
        <v>0.50256588443167061</v>
      </c>
      <c r="V693" s="180"/>
      <c r="W693" s="133"/>
    </row>
    <row r="694" spans="1:23" s="81" customFormat="1">
      <c r="A694" s="50" t="s">
        <v>1069</v>
      </c>
      <c r="B694" s="34">
        <f t="shared" ref="B694:U694" si="1132">B693*B692</f>
        <v>1.6304347826086958E-4</v>
      </c>
      <c r="C694" s="34">
        <f t="shared" si="1132"/>
        <v>1.5752993068683053E-4</v>
      </c>
      <c r="D694" s="34">
        <f t="shared" si="1132"/>
        <v>1.5220283158147877E-4</v>
      </c>
      <c r="E694" s="34">
        <f t="shared" si="1132"/>
        <v>1.4705587592413411E-4</v>
      </c>
      <c r="F694" s="34">
        <f t="shared" si="1132"/>
        <v>1.4208297190737598E-4</v>
      </c>
      <c r="G694" s="34">
        <f t="shared" si="1132"/>
        <v>1.372782337269333E-4</v>
      </c>
      <c r="H694" s="34">
        <f t="shared" si="1132"/>
        <v>1.3263597461539447E-4</v>
      </c>
      <c r="I694" s="34">
        <f t="shared" si="1132"/>
        <v>1.281507001114923E-4</v>
      </c>
      <c r="J694" s="34">
        <f t="shared" si="1132"/>
        <v>1.238171015569974E-4</v>
      </c>
      <c r="K694" s="34">
        <f t="shared" si="1132"/>
        <v>1.1963004981352407E-4</v>
      </c>
      <c r="L694" s="34">
        <f t="shared" si="1132"/>
        <v>1.1558458919181069E-4</v>
      </c>
      <c r="M694" s="34">
        <f t="shared" si="1132"/>
        <v>1.1167593158629052E-4</v>
      </c>
      <c r="N694" s="34">
        <f t="shared" si="1132"/>
        <v>1.0789945080801019E-4</v>
      </c>
      <c r="O694" s="34">
        <f t="shared" si="1132"/>
        <v>1.0425067710918858E-4</v>
      </c>
      <c r="P694" s="34">
        <f t="shared" si="1132"/>
        <v>1.0072529189293584E-4</v>
      </c>
      <c r="Q694" s="34">
        <f t="shared" si="1132"/>
        <v>9.7319122601870396E-5</v>
      </c>
      <c r="R694" s="34">
        <f t="shared" si="1132"/>
        <v>9.402813777958493E-5</v>
      </c>
      <c r="S694" s="34">
        <f t="shared" si="1132"/>
        <v>9.0848442299115879E-5</v>
      </c>
      <c r="T694" s="34">
        <f t="shared" si="1132"/>
        <v>8.7776272752768973E-5</v>
      </c>
      <c r="U694" s="34">
        <f t="shared" si="1132"/>
        <v>8.4807992997844422E-5</v>
      </c>
      <c r="V694" s="182">
        <f>SUM(B694:U694)</f>
        <v>2.3983430572044511E-3</v>
      </c>
      <c r="W694" s="35"/>
    </row>
    <row r="695" spans="1:23">
      <c r="A695" s="49"/>
      <c r="B695" s="34"/>
      <c r="C695" s="34"/>
      <c r="D695" s="34"/>
      <c r="E695" s="34"/>
      <c r="F695" s="34"/>
      <c r="G695" s="34"/>
      <c r="H695" s="34"/>
      <c r="I695" s="34"/>
      <c r="J695" s="34"/>
      <c r="K695" s="34"/>
      <c r="L695" s="34"/>
      <c r="M695" s="34"/>
      <c r="N695" s="34"/>
      <c r="O695" s="34"/>
      <c r="P695" s="34"/>
      <c r="Q695" s="34"/>
      <c r="R695" s="34"/>
      <c r="S695" s="34"/>
      <c r="T695" s="34"/>
      <c r="U695" s="34"/>
      <c r="V695" s="182"/>
      <c r="W695" s="35"/>
    </row>
    <row r="696" spans="1:23">
      <c r="A696" s="131" t="s">
        <v>1133</v>
      </c>
      <c r="B696" s="100"/>
      <c r="C696" s="100"/>
      <c r="D696" s="100"/>
      <c r="E696" s="100"/>
      <c r="F696" s="100"/>
      <c r="G696" s="100"/>
      <c r="H696" s="100"/>
      <c r="I696" s="100"/>
      <c r="J696" s="100"/>
      <c r="K696" s="100"/>
      <c r="L696" s="100"/>
      <c r="M696" s="100"/>
      <c r="N696" s="100"/>
      <c r="O696" s="100"/>
      <c r="P696" s="100"/>
      <c r="Q696" s="100"/>
      <c r="R696" s="100"/>
      <c r="S696" s="100"/>
      <c r="T696" s="100"/>
      <c r="U696" s="100"/>
      <c r="V696" s="179"/>
      <c r="W696" s="140"/>
    </row>
    <row r="697" spans="1:23">
      <c r="A697" s="200" t="s">
        <v>679</v>
      </c>
      <c r="B697" s="52">
        <v>0</v>
      </c>
      <c r="C697" s="52">
        <v>0</v>
      </c>
      <c r="D697" s="52">
        <v>0</v>
      </c>
      <c r="E697" s="52">
        <v>0</v>
      </c>
      <c r="F697" s="52">
        <v>0</v>
      </c>
      <c r="G697" s="52">
        <v>0</v>
      </c>
      <c r="H697" s="52">
        <v>0</v>
      </c>
      <c r="I697" s="52">
        <v>0</v>
      </c>
      <c r="J697" s="52">
        <v>0</v>
      </c>
      <c r="K697" s="52">
        <v>0</v>
      </c>
      <c r="L697" s="52">
        <v>0</v>
      </c>
      <c r="M697" s="52">
        <v>0</v>
      </c>
      <c r="N697" s="52">
        <v>0</v>
      </c>
      <c r="O697" s="52">
        <v>0</v>
      </c>
      <c r="P697" s="52">
        <v>0</v>
      </c>
      <c r="Q697" s="52">
        <v>0</v>
      </c>
      <c r="R697" s="52">
        <v>0</v>
      </c>
      <c r="S697" s="52">
        <v>0</v>
      </c>
      <c r="T697" s="52">
        <v>0</v>
      </c>
      <c r="U697" s="52">
        <v>0</v>
      </c>
      <c r="V697" s="180">
        <f>SUM(B697:U697)</f>
        <v>0</v>
      </c>
      <c r="W697" s="53">
        <f>V697/20</f>
        <v>0</v>
      </c>
    </row>
    <row r="698" spans="1:23" s="3" customFormat="1">
      <c r="A698" s="200" t="s">
        <v>680</v>
      </c>
      <c r="B698" s="52">
        <f>('Scenario 2 Assumptions'!$B$279*('Scenario 2 Assumptions'!$B$344*0.5)/20)</f>
        <v>1.6875000000000001E-4</v>
      </c>
      <c r="C698" s="52">
        <f>('Scenario 2 Assumptions'!$B$279*('Scenario 2 Assumptions'!$B$344*0.5)/20)</f>
        <v>1.6875000000000001E-4</v>
      </c>
      <c r="D698" s="52">
        <f>('Scenario 2 Assumptions'!$B$279*('Scenario 2 Assumptions'!$B$344*0.5)/20)</f>
        <v>1.6875000000000001E-4</v>
      </c>
      <c r="E698" s="52">
        <f>('Scenario 2 Assumptions'!$B$279*('Scenario 2 Assumptions'!$B$344*0.5)/20)</f>
        <v>1.6875000000000001E-4</v>
      </c>
      <c r="F698" s="52">
        <f>('Scenario 2 Assumptions'!$B$279*('Scenario 2 Assumptions'!$B$344*0.5)/20)</f>
        <v>1.6875000000000001E-4</v>
      </c>
      <c r="G698" s="52">
        <f>('Scenario 2 Assumptions'!$B$279*('Scenario 2 Assumptions'!$B$344*0.5)/20)</f>
        <v>1.6875000000000001E-4</v>
      </c>
      <c r="H698" s="52">
        <f>('Scenario 2 Assumptions'!$B$279*('Scenario 2 Assumptions'!$B$344*0.5)/20)</f>
        <v>1.6875000000000001E-4</v>
      </c>
      <c r="I698" s="52">
        <f>('Scenario 2 Assumptions'!$B$279*('Scenario 2 Assumptions'!$B$344*0.5)/20)</f>
        <v>1.6875000000000001E-4</v>
      </c>
      <c r="J698" s="52">
        <f>('Scenario 2 Assumptions'!$B$279*('Scenario 2 Assumptions'!$B$344*0.5)/20)</f>
        <v>1.6875000000000001E-4</v>
      </c>
      <c r="K698" s="52">
        <f>('Scenario 2 Assumptions'!$B$279*('Scenario 2 Assumptions'!$B$344*0.5)/20)</f>
        <v>1.6875000000000001E-4</v>
      </c>
      <c r="L698" s="52">
        <f>('Scenario 2 Assumptions'!$B$279*('Scenario 2 Assumptions'!$B$344*0.5)/20)</f>
        <v>1.6875000000000001E-4</v>
      </c>
      <c r="M698" s="52">
        <f>('Scenario 2 Assumptions'!$B$279*('Scenario 2 Assumptions'!$B$344*0.5)/20)</f>
        <v>1.6875000000000001E-4</v>
      </c>
      <c r="N698" s="52">
        <f>('Scenario 2 Assumptions'!$B$279*('Scenario 2 Assumptions'!$B$344*0.5)/20)</f>
        <v>1.6875000000000001E-4</v>
      </c>
      <c r="O698" s="52">
        <f>('Scenario 2 Assumptions'!$B$279*('Scenario 2 Assumptions'!$B$344*0.5)/20)</f>
        <v>1.6875000000000001E-4</v>
      </c>
      <c r="P698" s="52">
        <f>('Scenario 2 Assumptions'!$B$279*('Scenario 2 Assumptions'!$B$344*0.5)/20)</f>
        <v>1.6875000000000001E-4</v>
      </c>
      <c r="Q698" s="52">
        <f>('Scenario 2 Assumptions'!$B$279*('Scenario 2 Assumptions'!$B$344*0.5)/20)</f>
        <v>1.6875000000000001E-4</v>
      </c>
      <c r="R698" s="52">
        <f>('Scenario 2 Assumptions'!$B$279*('Scenario 2 Assumptions'!$B$344*0.5)/20)</f>
        <v>1.6875000000000001E-4</v>
      </c>
      <c r="S698" s="52">
        <f>('Scenario 2 Assumptions'!$B$279*('Scenario 2 Assumptions'!$B$344*0.5)/20)</f>
        <v>1.6875000000000001E-4</v>
      </c>
      <c r="T698" s="52">
        <f>('Scenario 2 Assumptions'!$B$279*('Scenario 2 Assumptions'!$B$344*0.5)/20)</f>
        <v>1.6875000000000001E-4</v>
      </c>
      <c r="U698" s="52">
        <f>('Scenario 2 Assumptions'!$B$279*('Scenario 2 Assumptions'!$B$344*0.5)/20)</f>
        <v>1.6875000000000001E-4</v>
      </c>
      <c r="V698" s="180">
        <f t="shared" ref="V698:V699" si="1133">SUM(B698:U698)</f>
        <v>3.3750000000000008E-3</v>
      </c>
      <c r="W698" s="53">
        <f t="shared" ref="W698:W699" si="1134">V698/20</f>
        <v>1.6875000000000004E-4</v>
      </c>
    </row>
    <row r="699" spans="1:23" ht="13.5" customHeight="1">
      <c r="A699" s="49" t="s">
        <v>664</v>
      </c>
      <c r="B699" s="34">
        <f>SUM(B697:B698)</f>
        <v>1.6875000000000001E-4</v>
      </c>
      <c r="C699" s="34">
        <f t="shared" ref="C699" si="1135">SUM(C697:C698)</f>
        <v>1.6875000000000001E-4</v>
      </c>
      <c r="D699" s="34">
        <f t="shared" ref="D699" si="1136">SUM(D697:D698)</f>
        <v>1.6875000000000001E-4</v>
      </c>
      <c r="E699" s="34">
        <f t="shared" ref="E699" si="1137">SUM(E697:E698)</f>
        <v>1.6875000000000001E-4</v>
      </c>
      <c r="F699" s="34">
        <f t="shared" ref="F699" si="1138">SUM(F697:F698)</f>
        <v>1.6875000000000001E-4</v>
      </c>
      <c r="G699" s="34">
        <f t="shared" ref="G699" si="1139">SUM(G697:G698)</f>
        <v>1.6875000000000001E-4</v>
      </c>
      <c r="H699" s="34">
        <f t="shared" ref="H699" si="1140">SUM(H697:H698)</f>
        <v>1.6875000000000001E-4</v>
      </c>
      <c r="I699" s="34">
        <f t="shared" ref="I699" si="1141">SUM(I697:I698)</f>
        <v>1.6875000000000001E-4</v>
      </c>
      <c r="J699" s="34">
        <f t="shared" ref="J699" si="1142">SUM(J697:J698)</f>
        <v>1.6875000000000001E-4</v>
      </c>
      <c r="K699" s="34">
        <f t="shared" ref="K699" si="1143">SUM(K697:K698)</f>
        <v>1.6875000000000001E-4</v>
      </c>
      <c r="L699" s="34">
        <f t="shared" ref="L699" si="1144">SUM(L697:L698)</f>
        <v>1.6875000000000001E-4</v>
      </c>
      <c r="M699" s="34">
        <f t="shared" ref="M699" si="1145">SUM(M697:M698)</f>
        <v>1.6875000000000001E-4</v>
      </c>
      <c r="N699" s="34">
        <f t="shared" ref="N699" si="1146">SUM(N697:N698)</f>
        <v>1.6875000000000001E-4</v>
      </c>
      <c r="O699" s="34">
        <f t="shared" ref="O699" si="1147">SUM(O697:O698)</f>
        <v>1.6875000000000001E-4</v>
      </c>
      <c r="P699" s="34">
        <f t="shared" ref="P699" si="1148">SUM(P697:P698)</f>
        <v>1.6875000000000001E-4</v>
      </c>
      <c r="Q699" s="34">
        <f t="shared" ref="Q699" si="1149">SUM(Q697:Q698)</f>
        <v>1.6875000000000001E-4</v>
      </c>
      <c r="R699" s="34">
        <f t="shared" ref="R699" si="1150">SUM(R697:R698)</f>
        <v>1.6875000000000001E-4</v>
      </c>
      <c r="S699" s="34">
        <f t="shared" ref="S699" si="1151">SUM(S697:S698)</f>
        <v>1.6875000000000001E-4</v>
      </c>
      <c r="T699" s="34">
        <f t="shared" ref="T699" si="1152">SUM(T697:T698)</f>
        <v>1.6875000000000001E-4</v>
      </c>
      <c r="U699" s="34">
        <f t="shared" ref="U699" si="1153">SUM(U697:U698)</f>
        <v>1.6875000000000001E-4</v>
      </c>
      <c r="V699" s="180">
        <f t="shared" si="1133"/>
        <v>3.3750000000000008E-3</v>
      </c>
      <c r="W699" s="53">
        <f t="shared" si="1134"/>
        <v>1.6875000000000004E-4</v>
      </c>
    </row>
    <row r="700" spans="1:23" s="81" customFormat="1">
      <c r="A700" s="134" t="s">
        <v>123</v>
      </c>
      <c r="B700" s="52">
        <v>0.96618357487922713</v>
      </c>
      <c r="C700" s="52">
        <v>0.93351070036640305</v>
      </c>
      <c r="D700" s="52">
        <v>0.90194270566802237</v>
      </c>
      <c r="E700" s="52">
        <v>0.87144222769857238</v>
      </c>
      <c r="F700" s="52">
        <v>0.84197316685852419</v>
      </c>
      <c r="G700" s="52">
        <v>0.81350064430775282</v>
      </c>
      <c r="H700" s="52">
        <v>0.78599096068381913</v>
      </c>
      <c r="I700" s="52">
        <v>0.75941155621625056</v>
      </c>
      <c r="J700" s="52">
        <v>0.73373097218961414</v>
      </c>
      <c r="K700" s="52">
        <v>0.70891881370977217</v>
      </c>
      <c r="L700" s="52">
        <v>0.68494571372924851</v>
      </c>
      <c r="M700" s="52">
        <v>0.66178329828912896</v>
      </c>
      <c r="N700" s="52">
        <v>0.63940415293635666</v>
      </c>
      <c r="O700" s="52">
        <v>0.61778179027667302</v>
      </c>
      <c r="P700" s="52">
        <v>0.59689061862480497</v>
      </c>
      <c r="Q700" s="52">
        <v>0.57670591171478747</v>
      </c>
      <c r="R700" s="52">
        <v>0.55720377943457733</v>
      </c>
      <c r="S700" s="52">
        <v>0.53836113955031628</v>
      </c>
      <c r="T700" s="52">
        <v>0.52015569038677911</v>
      </c>
      <c r="U700" s="52">
        <v>0.50256588443167061</v>
      </c>
      <c r="V700" s="180"/>
      <c r="W700" s="133"/>
    </row>
    <row r="701" spans="1:23" s="81" customFormat="1">
      <c r="A701" s="50" t="s">
        <v>1069</v>
      </c>
      <c r="B701" s="34">
        <f t="shared" ref="B701:U701" si="1154">B700*B699</f>
        <v>1.6304347826086958E-4</v>
      </c>
      <c r="C701" s="34">
        <f t="shared" si="1154"/>
        <v>1.5752993068683053E-4</v>
      </c>
      <c r="D701" s="34">
        <f t="shared" si="1154"/>
        <v>1.5220283158147877E-4</v>
      </c>
      <c r="E701" s="34">
        <f t="shared" si="1154"/>
        <v>1.4705587592413411E-4</v>
      </c>
      <c r="F701" s="34">
        <f t="shared" si="1154"/>
        <v>1.4208297190737598E-4</v>
      </c>
      <c r="G701" s="34">
        <f t="shared" si="1154"/>
        <v>1.372782337269333E-4</v>
      </c>
      <c r="H701" s="34">
        <f t="shared" si="1154"/>
        <v>1.3263597461539447E-4</v>
      </c>
      <c r="I701" s="34">
        <f t="shared" si="1154"/>
        <v>1.281507001114923E-4</v>
      </c>
      <c r="J701" s="34">
        <f t="shared" si="1154"/>
        <v>1.238171015569974E-4</v>
      </c>
      <c r="K701" s="34">
        <f t="shared" si="1154"/>
        <v>1.1963004981352407E-4</v>
      </c>
      <c r="L701" s="34">
        <f t="shared" si="1154"/>
        <v>1.1558458919181069E-4</v>
      </c>
      <c r="M701" s="34">
        <f t="shared" si="1154"/>
        <v>1.1167593158629052E-4</v>
      </c>
      <c r="N701" s="34">
        <f t="shared" si="1154"/>
        <v>1.0789945080801019E-4</v>
      </c>
      <c r="O701" s="34">
        <f t="shared" si="1154"/>
        <v>1.0425067710918858E-4</v>
      </c>
      <c r="P701" s="34">
        <f t="shared" si="1154"/>
        <v>1.0072529189293584E-4</v>
      </c>
      <c r="Q701" s="34">
        <f t="shared" si="1154"/>
        <v>9.7319122601870396E-5</v>
      </c>
      <c r="R701" s="34">
        <f t="shared" si="1154"/>
        <v>9.402813777958493E-5</v>
      </c>
      <c r="S701" s="34">
        <f t="shared" si="1154"/>
        <v>9.0848442299115879E-5</v>
      </c>
      <c r="T701" s="34">
        <f t="shared" si="1154"/>
        <v>8.7776272752768973E-5</v>
      </c>
      <c r="U701" s="34">
        <f t="shared" si="1154"/>
        <v>8.4807992997844422E-5</v>
      </c>
      <c r="V701" s="182">
        <f>SUM(B701:U701)</f>
        <v>2.3983430572044511E-3</v>
      </c>
      <c r="W701" s="35"/>
    </row>
    <row r="702" spans="1:23">
      <c r="A702" s="49"/>
      <c r="B702" s="34"/>
      <c r="C702" s="34"/>
      <c r="D702" s="34"/>
      <c r="E702" s="34"/>
      <c r="F702" s="34"/>
      <c r="G702" s="34"/>
      <c r="H702" s="34"/>
      <c r="I702" s="34"/>
      <c r="J702" s="34"/>
      <c r="K702" s="34"/>
      <c r="L702" s="34"/>
      <c r="M702" s="34"/>
      <c r="N702" s="34"/>
      <c r="O702" s="34"/>
      <c r="P702" s="34"/>
      <c r="Q702" s="34"/>
      <c r="R702" s="34"/>
      <c r="S702" s="34"/>
      <c r="T702" s="34"/>
      <c r="U702" s="34"/>
      <c r="V702" s="182"/>
      <c r="W702" s="35"/>
    </row>
    <row r="703" spans="1:23">
      <c r="A703" s="131" t="s">
        <v>1134</v>
      </c>
      <c r="B703" s="100"/>
      <c r="C703" s="100"/>
      <c r="D703" s="100"/>
      <c r="E703" s="100"/>
      <c r="F703" s="100"/>
      <c r="G703" s="100"/>
      <c r="H703" s="100"/>
      <c r="I703" s="100"/>
      <c r="J703" s="100"/>
      <c r="K703" s="100"/>
      <c r="L703" s="100"/>
      <c r="M703" s="100"/>
      <c r="N703" s="100"/>
      <c r="O703" s="100"/>
      <c r="P703" s="100"/>
      <c r="Q703" s="100"/>
      <c r="R703" s="100"/>
      <c r="S703" s="100"/>
      <c r="T703" s="100"/>
      <c r="U703" s="100"/>
      <c r="V703" s="179"/>
      <c r="W703" s="140"/>
    </row>
    <row r="704" spans="1:23">
      <c r="A704" s="200" t="s">
        <v>679</v>
      </c>
      <c r="B704" s="52">
        <v>0</v>
      </c>
      <c r="C704" s="52">
        <v>0</v>
      </c>
      <c r="D704" s="52">
        <v>0</v>
      </c>
      <c r="E704" s="52">
        <v>0</v>
      </c>
      <c r="F704" s="52">
        <v>0</v>
      </c>
      <c r="G704" s="52">
        <v>0</v>
      </c>
      <c r="H704" s="52">
        <v>0</v>
      </c>
      <c r="I704" s="52">
        <v>0</v>
      </c>
      <c r="J704" s="52">
        <v>0</v>
      </c>
      <c r="K704" s="52">
        <v>0</v>
      </c>
      <c r="L704" s="52">
        <v>0</v>
      </c>
      <c r="M704" s="52">
        <v>0</v>
      </c>
      <c r="N704" s="52">
        <v>0</v>
      </c>
      <c r="O704" s="52">
        <v>0</v>
      </c>
      <c r="P704" s="52">
        <v>0</v>
      </c>
      <c r="Q704" s="52">
        <v>0</v>
      </c>
      <c r="R704" s="52">
        <v>0</v>
      </c>
      <c r="S704" s="52">
        <v>0</v>
      </c>
      <c r="T704" s="52">
        <v>0</v>
      </c>
      <c r="U704" s="52">
        <v>0</v>
      </c>
      <c r="V704" s="180">
        <f>SUM(B704:U704)</f>
        <v>0</v>
      </c>
      <c r="W704" s="53">
        <f>V704/20</f>
        <v>0</v>
      </c>
    </row>
    <row r="705" spans="1:23" s="3" customFormat="1">
      <c r="A705" s="200" t="s">
        <v>680</v>
      </c>
      <c r="B705" s="52">
        <f>('Scenario 2 Assumptions'!$B$279*('Scenario 2 Assumptions'!$B$345*0.5)/20)</f>
        <v>1.6875000000000001E-4</v>
      </c>
      <c r="C705" s="52">
        <f>('Scenario 2 Assumptions'!$B$279*('Scenario 2 Assumptions'!$B$345*0.5)/20)</f>
        <v>1.6875000000000001E-4</v>
      </c>
      <c r="D705" s="52">
        <f>('Scenario 2 Assumptions'!$B$279*('Scenario 2 Assumptions'!$B$345*0.5)/20)</f>
        <v>1.6875000000000001E-4</v>
      </c>
      <c r="E705" s="52">
        <f>('Scenario 2 Assumptions'!$B$279*('Scenario 2 Assumptions'!$B$345*0.5)/20)</f>
        <v>1.6875000000000001E-4</v>
      </c>
      <c r="F705" s="52">
        <f>('Scenario 2 Assumptions'!$B$279*('Scenario 2 Assumptions'!$B$345*0.5)/20)</f>
        <v>1.6875000000000001E-4</v>
      </c>
      <c r="G705" s="52">
        <f>('Scenario 2 Assumptions'!$B$279*('Scenario 2 Assumptions'!$B$345*0.5)/20)</f>
        <v>1.6875000000000001E-4</v>
      </c>
      <c r="H705" s="52">
        <f>('Scenario 2 Assumptions'!$B$279*('Scenario 2 Assumptions'!$B$345*0.5)/20)</f>
        <v>1.6875000000000001E-4</v>
      </c>
      <c r="I705" s="52">
        <f>('Scenario 2 Assumptions'!$B$279*('Scenario 2 Assumptions'!$B$345*0.5)/20)</f>
        <v>1.6875000000000001E-4</v>
      </c>
      <c r="J705" s="52">
        <f>('Scenario 2 Assumptions'!$B$279*('Scenario 2 Assumptions'!$B$345*0.5)/20)</f>
        <v>1.6875000000000001E-4</v>
      </c>
      <c r="K705" s="52">
        <f>('Scenario 2 Assumptions'!$B$279*('Scenario 2 Assumptions'!$B$345*0.5)/20)</f>
        <v>1.6875000000000001E-4</v>
      </c>
      <c r="L705" s="52">
        <f>('Scenario 2 Assumptions'!$B$279*('Scenario 2 Assumptions'!$B$345*0.5)/20)</f>
        <v>1.6875000000000001E-4</v>
      </c>
      <c r="M705" s="52">
        <f>('Scenario 2 Assumptions'!$B$279*('Scenario 2 Assumptions'!$B$345*0.5)/20)</f>
        <v>1.6875000000000001E-4</v>
      </c>
      <c r="N705" s="52">
        <f>('Scenario 2 Assumptions'!$B$279*('Scenario 2 Assumptions'!$B$345*0.5)/20)</f>
        <v>1.6875000000000001E-4</v>
      </c>
      <c r="O705" s="52">
        <f>('Scenario 2 Assumptions'!$B$279*('Scenario 2 Assumptions'!$B$345*0.5)/20)</f>
        <v>1.6875000000000001E-4</v>
      </c>
      <c r="P705" s="52">
        <f>('Scenario 2 Assumptions'!$B$279*('Scenario 2 Assumptions'!$B$345*0.5)/20)</f>
        <v>1.6875000000000001E-4</v>
      </c>
      <c r="Q705" s="52">
        <f>('Scenario 2 Assumptions'!$B$279*('Scenario 2 Assumptions'!$B$345*0.5)/20)</f>
        <v>1.6875000000000001E-4</v>
      </c>
      <c r="R705" s="52">
        <f>('Scenario 2 Assumptions'!$B$279*('Scenario 2 Assumptions'!$B$345*0.5)/20)</f>
        <v>1.6875000000000001E-4</v>
      </c>
      <c r="S705" s="52">
        <f>('Scenario 2 Assumptions'!$B$279*('Scenario 2 Assumptions'!$B$345*0.5)/20)</f>
        <v>1.6875000000000001E-4</v>
      </c>
      <c r="T705" s="52">
        <f>('Scenario 2 Assumptions'!$B$279*('Scenario 2 Assumptions'!$B$345*0.5)/20)</f>
        <v>1.6875000000000001E-4</v>
      </c>
      <c r="U705" s="52">
        <f>('Scenario 2 Assumptions'!$B$279*('Scenario 2 Assumptions'!$B$345*0.5)/20)</f>
        <v>1.6875000000000001E-4</v>
      </c>
      <c r="V705" s="180">
        <f t="shared" ref="V705:V706" si="1155">SUM(B705:U705)</f>
        <v>3.3750000000000008E-3</v>
      </c>
      <c r="W705" s="53">
        <f t="shared" ref="W705:W706" si="1156">V705/20</f>
        <v>1.6875000000000004E-4</v>
      </c>
    </row>
    <row r="706" spans="1:23" ht="13.5" customHeight="1">
      <c r="A706" s="49" t="s">
        <v>664</v>
      </c>
      <c r="B706" s="34">
        <f>SUM(B704:B705)</f>
        <v>1.6875000000000001E-4</v>
      </c>
      <c r="C706" s="34">
        <f t="shared" ref="C706" si="1157">SUM(C704:C705)</f>
        <v>1.6875000000000001E-4</v>
      </c>
      <c r="D706" s="34">
        <f t="shared" ref="D706" si="1158">SUM(D704:D705)</f>
        <v>1.6875000000000001E-4</v>
      </c>
      <c r="E706" s="34">
        <f t="shared" ref="E706" si="1159">SUM(E704:E705)</f>
        <v>1.6875000000000001E-4</v>
      </c>
      <c r="F706" s="34">
        <f t="shared" ref="F706" si="1160">SUM(F704:F705)</f>
        <v>1.6875000000000001E-4</v>
      </c>
      <c r="G706" s="34">
        <f t="shared" ref="G706" si="1161">SUM(G704:G705)</f>
        <v>1.6875000000000001E-4</v>
      </c>
      <c r="H706" s="34">
        <f t="shared" ref="H706" si="1162">SUM(H704:H705)</f>
        <v>1.6875000000000001E-4</v>
      </c>
      <c r="I706" s="34">
        <f t="shared" ref="I706" si="1163">SUM(I704:I705)</f>
        <v>1.6875000000000001E-4</v>
      </c>
      <c r="J706" s="34">
        <f t="shared" ref="J706" si="1164">SUM(J704:J705)</f>
        <v>1.6875000000000001E-4</v>
      </c>
      <c r="K706" s="34">
        <f t="shared" ref="K706" si="1165">SUM(K704:K705)</f>
        <v>1.6875000000000001E-4</v>
      </c>
      <c r="L706" s="34">
        <f t="shared" ref="L706" si="1166">SUM(L704:L705)</f>
        <v>1.6875000000000001E-4</v>
      </c>
      <c r="M706" s="34">
        <f t="shared" ref="M706" si="1167">SUM(M704:M705)</f>
        <v>1.6875000000000001E-4</v>
      </c>
      <c r="N706" s="34">
        <f t="shared" ref="N706" si="1168">SUM(N704:N705)</f>
        <v>1.6875000000000001E-4</v>
      </c>
      <c r="O706" s="34">
        <f t="shared" ref="O706" si="1169">SUM(O704:O705)</f>
        <v>1.6875000000000001E-4</v>
      </c>
      <c r="P706" s="34">
        <f t="shared" ref="P706" si="1170">SUM(P704:P705)</f>
        <v>1.6875000000000001E-4</v>
      </c>
      <c r="Q706" s="34">
        <f t="shared" ref="Q706" si="1171">SUM(Q704:Q705)</f>
        <v>1.6875000000000001E-4</v>
      </c>
      <c r="R706" s="34">
        <f t="shared" ref="R706" si="1172">SUM(R704:R705)</f>
        <v>1.6875000000000001E-4</v>
      </c>
      <c r="S706" s="34">
        <f t="shared" ref="S706" si="1173">SUM(S704:S705)</f>
        <v>1.6875000000000001E-4</v>
      </c>
      <c r="T706" s="34">
        <f t="shared" ref="T706" si="1174">SUM(T704:T705)</f>
        <v>1.6875000000000001E-4</v>
      </c>
      <c r="U706" s="34">
        <f t="shared" ref="U706" si="1175">SUM(U704:U705)</f>
        <v>1.6875000000000001E-4</v>
      </c>
      <c r="V706" s="180">
        <f t="shared" si="1155"/>
        <v>3.3750000000000008E-3</v>
      </c>
      <c r="W706" s="53">
        <f t="shared" si="1156"/>
        <v>1.6875000000000004E-4</v>
      </c>
    </row>
    <row r="707" spans="1:23" s="81" customFormat="1">
      <c r="A707" s="134" t="s">
        <v>123</v>
      </c>
      <c r="B707" s="52">
        <v>0.96618357487922713</v>
      </c>
      <c r="C707" s="52">
        <v>0.93351070036640305</v>
      </c>
      <c r="D707" s="52">
        <v>0.90194270566802237</v>
      </c>
      <c r="E707" s="52">
        <v>0.87144222769857238</v>
      </c>
      <c r="F707" s="52">
        <v>0.84197316685852419</v>
      </c>
      <c r="G707" s="52">
        <v>0.81350064430775282</v>
      </c>
      <c r="H707" s="52">
        <v>0.78599096068381913</v>
      </c>
      <c r="I707" s="52">
        <v>0.75941155621625056</v>
      </c>
      <c r="J707" s="52">
        <v>0.73373097218961414</v>
      </c>
      <c r="K707" s="52">
        <v>0.70891881370977217</v>
      </c>
      <c r="L707" s="52">
        <v>0.68494571372924851</v>
      </c>
      <c r="M707" s="52">
        <v>0.66178329828912896</v>
      </c>
      <c r="N707" s="52">
        <v>0.63940415293635666</v>
      </c>
      <c r="O707" s="52">
        <v>0.61778179027667302</v>
      </c>
      <c r="P707" s="52">
        <v>0.59689061862480497</v>
      </c>
      <c r="Q707" s="52">
        <v>0.57670591171478747</v>
      </c>
      <c r="R707" s="52">
        <v>0.55720377943457733</v>
      </c>
      <c r="S707" s="52">
        <v>0.53836113955031628</v>
      </c>
      <c r="T707" s="52">
        <v>0.52015569038677911</v>
      </c>
      <c r="U707" s="52">
        <v>0.50256588443167061</v>
      </c>
      <c r="V707" s="180"/>
      <c r="W707" s="133"/>
    </row>
    <row r="708" spans="1:23" s="81" customFormat="1">
      <c r="A708" s="50" t="s">
        <v>1069</v>
      </c>
      <c r="B708" s="34">
        <f t="shared" ref="B708:U708" si="1176">B707*B706</f>
        <v>1.6304347826086958E-4</v>
      </c>
      <c r="C708" s="34">
        <f t="shared" si="1176"/>
        <v>1.5752993068683053E-4</v>
      </c>
      <c r="D708" s="34">
        <f t="shared" si="1176"/>
        <v>1.5220283158147877E-4</v>
      </c>
      <c r="E708" s="34">
        <f t="shared" si="1176"/>
        <v>1.4705587592413411E-4</v>
      </c>
      <c r="F708" s="34">
        <f t="shared" si="1176"/>
        <v>1.4208297190737598E-4</v>
      </c>
      <c r="G708" s="34">
        <f t="shared" si="1176"/>
        <v>1.372782337269333E-4</v>
      </c>
      <c r="H708" s="34">
        <f t="shared" si="1176"/>
        <v>1.3263597461539447E-4</v>
      </c>
      <c r="I708" s="34">
        <f t="shared" si="1176"/>
        <v>1.281507001114923E-4</v>
      </c>
      <c r="J708" s="34">
        <f t="shared" si="1176"/>
        <v>1.238171015569974E-4</v>
      </c>
      <c r="K708" s="34">
        <f t="shared" si="1176"/>
        <v>1.1963004981352407E-4</v>
      </c>
      <c r="L708" s="34">
        <f t="shared" si="1176"/>
        <v>1.1558458919181069E-4</v>
      </c>
      <c r="M708" s="34">
        <f t="shared" si="1176"/>
        <v>1.1167593158629052E-4</v>
      </c>
      <c r="N708" s="34">
        <f t="shared" si="1176"/>
        <v>1.0789945080801019E-4</v>
      </c>
      <c r="O708" s="34">
        <f t="shared" si="1176"/>
        <v>1.0425067710918858E-4</v>
      </c>
      <c r="P708" s="34">
        <f t="shared" si="1176"/>
        <v>1.0072529189293584E-4</v>
      </c>
      <c r="Q708" s="34">
        <f t="shared" si="1176"/>
        <v>9.7319122601870396E-5</v>
      </c>
      <c r="R708" s="34">
        <f t="shared" si="1176"/>
        <v>9.402813777958493E-5</v>
      </c>
      <c r="S708" s="34">
        <f t="shared" si="1176"/>
        <v>9.0848442299115879E-5</v>
      </c>
      <c r="T708" s="34">
        <f t="shared" si="1176"/>
        <v>8.7776272752768973E-5</v>
      </c>
      <c r="U708" s="34">
        <f t="shared" si="1176"/>
        <v>8.4807992997844422E-5</v>
      </c>
      <c r="V708" s="182">
        <f>SUM(B708:U708)</f>
        <v>2.3983430572044511E-3</v>
      </c>
      <c r="W708" s="35"/>
    </row>
    <row r="709" spans="1:23">
      <c r="A709" s="49"/>
      <c r="B709" s="34"/>
      <c r="C709" s="34"/>
      <c r="D709" s="34"/>
      <c r="E709" s="34"/>
      <c r="F709" s="34"/>
      <c r="G709" s="34"/>
      <c r="H709" s="34"/>
      <c r="I709" s="34"/>
      <c r="J709" s="34"/>
      <c r="K709" s="34"/>
      <c r="L709" s="34"/>
      <c r="M709" s="34"/>
      <c r="N709" s="34"/>
      <c r="O709" s="34"/>
      <c r="P709" s="34"/>
      <c r="Q709" s="34"/>
      <c r="R709" s="34"/>
      <c r="S709" s="34"/>
      <c r="T709" s="34"/>
      <c r="U709" s="34"/>
      <c r="V709" s="182"/>
      <c r="W709" s="35"/>
    </row>
    <row r="710" spans="1:23">
      <c r="A710" s="131" t="s">
        <v>1135</v>
      </c>
      <c r="B710" s="100"/>
      <c r="C710" s="100"/>
      <c r="D710" s="100"/>
      <c r="E710" s="100"/>
      <c r="F710" s="100"/>
      <c r="G710" s="100"/>
      <c r="H710" s="100"/>
      <c r="I710" s="100"/>
      <c r="J710" s="100"/>
      <c r="K710" s="100"/>
      <c r="L710" s="100"/>
      <c r="M710" s="100"/>
      <c r="N710" s="100"/>
      <c r="O710" s="100"/>
      <c r="P710" s="100"/>
      <c r="Q710" s="100"/>
      <c r="R710" s="100"/>
      <c r="S710" s="100"/>
      <c r="T710" s="100"/>
      <c r="U710" s="100"/>
      <c r="V710" s="179"/>
      <c r="W710" s="140"/>
    </row>
    <row r="711" spans="1:23">
      <c r="A711" s="200" t="s">
        <v>679</v>
      </c>
      <c r="B711" s="52">
        <v>0</v>
      </c>
      <c r="C711" s="52">
        <v>0</v>
      </c>
      <c r="D711" s="52">
        <v>0</v>
      </c>
      <c r="E711" s="52">
        <v>0</v>
      </c>
      <c r="F711" s="52">
        <v>0</v>
      </c>
      <c r="G711" s="52">
        <v>0</v>
      </c>
      <c r="H711" s="52">
        <v>0</v>
      </c>
      <c r="I711" s="52">
        <v>0</v>
      </c>
      <c r="J711" s="52">
        <v>0</v>
      </c>
      <c r="K711" s="52">
        <v>0</v>
      </c>
      <c r="L711" s="52">
        <v>0</v>
      </c>
      <c r="M711" s="52">
        <v>0</v>
      </c>
      <c r="N711" s="52">
        <v>0</v>
      </c>
      <c r="O711" s="52">
        <v>0</v>
      </c>
      <c r="P711" s="52">
        <v>0</v>
      </c>
      <c r="Q711" s="52">
        <v>0</v>
      </c>
      <c r="R711" s="52">
        <v>0</v>
      </c>
      <c r="S711" s="52">
        <v>0</v>
      </c>
      <c r="T711" s="52">
        <v>0</v>
      </c>
      <c r="U711" s="52">
        <v>0</v>
      </c>
      <c r="V711" s="180">
        <f>SUM(B711:U711)</f>
        <v>0</v>
      </c>
      <c r="W711" s="53">
        <f>V711/20</f>
        <v>0</v>
      </c>
    </row>
    <row r="712" spans="1:23" s="3" customFormat="1">
      <c r="A712" s="200" t="s">
        <v>680</v>
      </c>
      <c r="B712" s="52">
        <f>('Scenario 2 Assumptions'!$B$279*('Scenario 2 Assumptions'!$B$337*0.5)/20)</f>
        <v>3.3750000000000002E-4</v>
      </c>
      <c r="C712" s="52">
        <f>('Scenario 2 Assumptions'!$B$279*('Scenario 2 Assumptions'!$B$337*0.5)/20)</f>
        <v>3.3750000000000002E-4</v>
      </c>
      <c r="D712" s="52">
        <f>('Scenario 2 Assumptions'!$B$279*('Scenario 2 Assumptions'!$B$337*0.5)/20)</f>
        <v>3.3750000000000002E-4</v>
      </c>
      <c r="E712" s="52">
        <f>('Scenario 2 Assumptions'!$B$279*('Scenario 2 Assumptions'!$B$337*0.5)/20)</f>
        <v>3.3750000000000002E-4</v>
      </c>
      <c r="F712" s="52">
        <f>('Scenario 2 Assumptions'!$B$279*('Scenario 2 Assumptions'!$B$337*0.5)/20)</f>
        <v>3.3750000000000002E-4</v>
      </c>
      <c r="G712" s="52">
        <f>('Scenario 2 Assumptions'!$B$279*('Scenario 2 Assumptions'!$B$337*0.5)/20)</f>
        <v>3.3750000000000002E-4</v>
      </c>
      <c r="H712" s="52">
        <f>('Scenario 2 Assumptions'!$B$279*('Scenario 2 Assumptions'!$B$337*0.5)/20)</f>
        <v>3.3750000000000002E-4</v>
      </c>
      <c r="I712" s="52">
        <f>('Scenario 2 Assumptions'!$B$279*('Scenario 2 Assumptions'!$B$337*0.5)/20)</f>
        <v>3.3750000000000002E-4</v>
      </c>
      <c r="J712" s="52">
        <f>('Scenario 2 Assumptions'!$B$279*('Scenario 2 Assumptions'!$B$337*0.5)/20)</f>
        <v>3.3750000000000002E-4</v>
      </c>
      <c r="K712" s="52">
        <f>('Scenario 2 Assumptions'!$B$279*('Scenario 2 Assumptions'!$B$337*0.5)/20)</f>
        <v>3.3750000000000002E-4</v>
      </c>
      <c r="L712" s="52">
        <f>('Scenario 2 Assumptions'!$B$279*('Scenario 2 Assumptions'!$B$337*0.5)/20)</f>
        <v>3.3750000000000002E-4</v>
      </c>
      <c r="M712" s="52">
        <f>('Scenario 2 Assumptions'!$B$279*('Scenario 2 Assumptions'!$B$337*0.5)/20)</f>
        <v>3.3750000000000002E-4</v>
      </c>
      <c r="N712" s="52">
        <f>('Scenario 2 Assumptions'!$B$279*('Scenario 2 Assumptions'!$B$337*0.5)/20)</f>
        <v>3.3750000000000002E-4</v>
      </c>
      <c r="O712" s="52">
        <f>('Scenario 2 Assumptions'!$B$279*('Scenario 2 Assumptions'!$B$337*0.5)/20)</f>
        <v>3.3750000000000002E-4</v>
      </c>
      <c r="P712" s="52">
        <f>('Scenario 2 Assumptions'!$B$279*('Scenario 2 Assumptions'!$B$337*0.5)/20)</f>
        <v>3.3750000000000002E-4</v>
      </c>
      <c r="Q712" s="52">
        <f>('Scenario 2 Assumptions'!$B$279*('Scenario 2 Assumptions'!$B$337*0.5)/20)</f>
        <v>3.3750000000000002E-4</v>
      </c>
      <c r="R712" s="52">
        <f>('Scenario 2 Assumptions'!$B$279*('Scenario 2 Assumptions'!$B$337*0.5)/20)</f>
        <v>3.3750000000000002E-4</v>
      </c>
      <c r="S712" s="52">
        <f>('Scenario 2 Assumptions'!$B$279*('Scenario 2 Assumptions'!$B$337*0.5)/20)</f>
        <v>3.3750000000000002E-4</v>
      </c>
      <c r="T712" s="52">
        <f>('Scenario 2 Assumptions'!$B$279*('Scenario 2 Assumptions'!$B$337*0.5)/20)</f>
        <v>3.3750000000000002E-4</v>
      </c>
      <c r="U712" s="52">
        <f>('Scenario 2 Assumptions'!$B$279*('Scenario 2 Assumptions'!$B$337*0.5)/20)</f>
        <v>3.3750000000000002E-4</v>
      </c>
      <c r="V712" s="180">
        <f t="shared" ref="V712:V713" si="1177">SUM(B712:U712)</f>
        <v>6.7500000000000017E-3</v>
      </c>
      <c r="W712" s="53">
        <f t="shared" ref="W712:W713" si="1178">V712/20</f>
        <v>3.3750000000000007E-4</v>
      </c>
    </row>
    <row r="713" spans="1:23" ht="13.5" customHeight="1">
      <c r="A713" s="49" t="s">
        <v>664</v>
      </c>
      <c r="B713" s="34">
        <f>SUM(B711:B712)</f>
        <v>3.3750000000000002E-4</v>
      </c>
      <c r="C713" s="34">
        <f t="shared" ref="C713" si="1179">SUM(C711:C712)</f>
        <v>3.3750000000000002E-4</v>
      </c>
      <c r="D713" s="34">
        <f t="shared" ref="D713" si="1180">SUM(D711:D712)</f>
        <v>3.3750000000000002E-4</v>
      </c>
      <c r="E713" s="34">
        <f t="shared" ref="E713" si="1181">SUM(E711:E712)</f>
        <v>3.3750000000000002E-4</v>
      </c>
      <c r="F713" s="34">
        <f t="shared" ref="F713" si="1182">SUM(F711:F712)</f>
        <v>3.3750000000000002E-4</v>
      </c>
      <c r="G713" s="34">
        <f t="shared" ref="G713" si="1183">SUM(G711:G712)</f>
        <v>3.3750000000000002E-4</v>
      </c>
      <c r="H713" s="34">
        <f t="shared" ref="H713" si="1184">SUM(H711:H712)</f>
        <v>3.3750000000000002E-4</v>
      </c>
      <c r="I713" s="34">
        <f t="shared" ref="I713" si="1185">SUM(I711:I712)</f>
        <v>3.3750000000000002E-4</v>
      </c>
      <c r="J713" s="34">
        <f t="shared" ref="J713" si="1186">SUM(J711:J712)</f>
        <v>3.3750000000000002E-4</v>
      </c>
      <c r="K713" s="34">
        <f t="shared" ref="K713" si="1187">SUM(K711:K712)</f>
        <v>3.3750000000000002E-4</v>
      </c>
      <c r="L713" s="34">
        <f t="shared" ref="L713" si="1188">SUM(L711:L712)</f>
        <v>3.3750000000000002E-4</v>
      </c>
      <c r="M713" s="34">
        <f t="shared" ref="M713" si="1189">SUM(M711:M712)</f>
        <v>3.3750000000000002E-4</v>
      </c>
      <c r="N713" s="34">
        <f t="shared" ref="N713" si="1190">SUM(N711:N712)</f>
        <v>3.3750000000000002E-4</v>
      </c>
      <c r="O713" s="34">
        <f t="shared" ref="O713" si="1191">SUM(O711:O712)</f>
        <v>3.3750000000000002E-4</v>
      </c>
      <c r="P713" s="34">
        <f t="shared" ref="P713" si="1192">SUM(P711:P712)</f>
        <v>3.3750000000000002E-4</v>
      </c>
      <c r="Q713" s="34">
        <f t="shared" ref="Q713" si="1193">SUM(Q711:Q712)</f>
        <v>3.3750000000000002E-4</v>
      </c>
      <c r="R713" s="34">
        <f t="shared" ref="R713" si="1194">SUM(R711:R712)</f>
        <v>3.3750000000000002E-4</v>
      </c>
      <c r="S713" s="34">
        <f t="shared" ref="S713" si="1195">SUM(S711:S712)</f>
        <v>3.3750000000000002E-4</v>
      </c>
      <c r="T713" s="34">
        <f t="shared" ref="T713" si="1196">SUM(T711:T712)</f>
        <v>3.3750000000000002E-4</v>
      </c>
      <c r="U713" s="34">
        <f t="shared" ref="U713" si="1197">SUM(U711:U712)</f>
        <v>3.3750000000000002E-4</v>
      </c>
      <c r="V713" s="180">
        <f t="shared" si="1177"/>
        <v>6.7500000000000017E-3</v>
      </c>
      <c r="W713" s="53">
        <f t="shared" si="1178"/>
        <v>3.3750000000000007E-4</v>
      </c>
    </row>
    <row r="714" spans="1:23" s="81" customFormat="1">
      <c r="A714" s="134" t="s">
        <v>123</v>
      </c>
      <c r="B714" s="52">
        <v>0.96618357487922713</v>
      </c>
      <c r="C714" s="52">
        <v>0.93351070036640305</v>
      </c>
      <c r="D714" s="52">
        <v>0.90194270566802237</v>
      </c>
      <c r="E714" s="52">
        <v>0.87144222769857238</v>
      </c>
      <c r="F714" s="52">
        <v>0.84197316685852419</v>
      </c>
      <c r="G714" s="52">
        <v>0.81350064430775282</v>
      </c>
      <c r="H714" s="52">
        <v>0.78599096068381913</v>
      </c>
      <c r="I714" s="52">
        <v>0.75941155621625056</v>
      </c>
      <c r="J714" s="52">
        <v>0.73373097218961414</v>
      </c>
      <c r="K714" s="52">
        <v>0.70891881370977217</v>
      </c>
      <c r="L714" s="52">
        <v>0.68494571372924851</v>
      </c>
      <c r="M714" s="52">
        <v>0.66178329828912896</v>
      </c>
      <c r="N714" s="52">
        <v>0.63940415293635666</v>
      </c>
      <c r="O714" s="52">
        <v>0.61778179027667302</v>
      </c>
      <c r="P714" s="52">
        <v>0.59689061862480497</v>
      </c>
      <c r="Q714" s="52">
        <v>0.57670591171478747</v>
      </c>
      <c r="R714" s="52">
        <v>0.55720377943457733</v>
      </c>
      <c r="S714" s="52">
        <v>0.53836113955031628</v>
      </c>
      <c r="T714" s="52">
        <v>0.52015569038677911</v>
      </c>
      <c r="U714" s="52">
        <v>0.50256588443167061</v>
      </c>
      <c r="V714" s="180"/>
      <c r="W714" s="133"/>
    </row>
    <row r="715" spans="1:23" s="81" customFormat="1">
      <c r="A715" s="50" t="s">
        <v>1069</v>
      </c>
      <c r="B715" s="34">
        <f t="shared" ref="B715:U715" si="1198">B714*B713</f>
        <v>3.2608695652173916E-4</v>
      </c>
      <c r="C715" s="34">
        <f t="shared" si="1198"/>
        <v>3.1505986137366106E-4</v>
      </c>
      <c r="D715" s="34">
        <f t="shared" si="1198"/>
        <v>3.0440566316295754E-4</v>
      </c>
      <c r="E715" s="34">
        <f t="shared" si="1198"/>
        <v>2.9411175184826822E-4</v>
      </c>
      <c r="F715" s="34">
        <f t="shared" si="1198"/>
        <v>2.8416594381475195E-4</v>
      </c>
      <c r="G715" s="34">
        <f t="shared" si="1198"/>
        <v>2.745564674538666E-4</v>
      </c>
      <c r="H715" s="34">
        <f t="shared" si="1198"/>
        <v>2.6527194923078894E-4</v>
      </c>
      <c r="I715" s="34">
        <f t="shared" si="1198"/>
        <v>2.5630140022298459E-4</v>
      </c>
      <c r="J715" s="34">
        <f t="shared" si="1198"/>
        <v>2.476342031139948E-4</v>
      </c>
      <c r="K715" s="34">
        <f t="shared" si="1198"/>
        <v>2.3926009962704813E-4</v>
      </c>
      <c r="L715" s="34">
        <f t="shared" si="1198"/>
        <v>2.3116917838362139E-4</v>
      </c>
      <c r="M715" s="34">
        <f t="shared" si="1198"/>
        <v>2.2335186317258104E-4</v>
      </c>
      <c r="N715" s="34">
        <f t="shared" si="1198"/>
        <v>2.1579890161602038E-4</v>
      </c>
      <c r="O715" s="34">
        <f t="shared" si="1198"/>
        <v>2.0850135421837717E-4</v>
      </c>
      <c r="P715" s="34">
        <f t="shared" si="1198"/>
        <v>2.0145058378587169E-4</v>
      </c>
      <c r="Q715" s="34">
        <f t="shared" si="1198"/>
        <v>1.9463824520374079E-4</v>
      </c>
      <c r="R715" s="34">
        <f t="shared" si="1198"/>
        <v>1.8805627555916986E-4</v>
      </c>
      <c r="S715" s="34">
        <f t="shared" si="1198"/>
        <v>1.8169688459823176E-4</v>
      </c>
      <c r="T715" s="34">
        <f t="shared" si="1198"/>
        <v>1.7555254550553795E-4</v>
      </c>
      <c r="U715" s="34">
        <f t="shared" si="1198"/>
        <v>1.6961598599568884E-4</v>
      </c>
      <c r="V715" s="182">
        <f>SUM(B715:U715)</f>
        <v>4.7966861144089021E-3</v>
      </c>
      <c r="W715" s="35"/>
    </row>
    <row r="716" spans="1:23">
      <c r="A716" s="49"/>
      <c r="B716" s="34"/>
      <c r="C716" s="34"/>
      <c r="D716" s="34"/>
      <c r="E716" s="34"/>
      <c r="F716" s="34"/>
      <c r="G716" s="34"/>
      <c r="H716" s="34"/>
      <c r="I716" s="34"/>
      <c r="J716" s="34"/>
      <c r="K716" s="34"/>
      <c r="L716" s="34"/>
      <c r="M716" s="34"/>
      <c r="N716" s="34"/>
      <c r="O716" s="34"/>
      <c r="P716" s="34"/>
      <c r="Q716" s="34"/>
      <c r="R716" s="34"/>
      <c r="S716" s="34"/>
      <c r="T716" s="34"/>
      <c r="U716" s="34"/>
      <c r="V716" s="182"/>
      <c r="W716" s="35"/>
    </row>
    <row r="717" spans="1:23">
      <c r="A717" s="131" t="s">
        <v>1136</v>
      </c>
      <c r="B717" s="100"/>
      <c r="C717" s="100"/>
      <c r="D717" s="100"/>
      <c r="E717" s="100"/>
      <c r="F717" s="100"/>
      <c r="G717" s="100"/>
      <c r="H717" s="100"/>
      <c r="I717" s="100"/>
      <c r="J717" s="100"/>
      <c r="K717" s="100"/>
      <c r="L717" s="100"/>
      <c r="M717" s="100"/>
      <c r="N717" s="100"/>
      <c r="O717" s="100"/>
      <c r="P717" s="100"/>
      <c r="Q717" s="100"/>
      <c r="R717" s="100"/>
      <c r="S717" s="100"/>
      <c r="T717" s="100"/>
      <c r="U717" s="100"/>
      <c r="V717" s="179"/>
      <c r="W717" s="140"/>
    </row>
    <row r="718" spans="1:23">
      <c r="A718" s="200" t="s">
        <v>679</v>
      </c>
      <c r="B718" s="52">
        <f t="shared" ref="B718:U718" si="1199">B186</f>
        <v>1.35E-2</v>
      </c>
      <c r="C718" s="52">
        <f t="shared" si="1199"/>
        <v>0</v>
      </c>
      <c r="D718" s="52">
        <f t="shared" si="1199"/>
        <v>0</v>
      </c>
      <c r="E718" s="52">
        <f t="shared" si="1199"/>
        <v>1.35E-2</v>
      </c>
      <c r="F718" s="52">
        <f t="shared" si="1199"/>
        <v>0</v>
      </c>
      <c r="G718" s="52">
        <f t="shared" si="1199"/>
        <v>0</v>
      </c>
      <c r="H718" s="52">
        <f t="shared" si="1199"/>
        <v>1.35E-2</v>
      </c>
      <c r="I718" s="52">
        <f t="shared" si="1199"/>
        <v>0</v>
      </c>
      <c r="J718" s="52">
        <f t="shared" si="1199"/>
        <v>0</v>
      </c>
      <c r="K718" s="52">
        <f t="shared" si="1199"/>
        <v>1.35E-2</v>
      </c>
      <c r="L718" s="52">
        <f t="shared" si="1199"/>
        <v>0</v>
      </c>
      <c r="M718" s="52">
        <f t="shared" si="1199"/>
        <v>0</v>
      </c>
      <c r="N718" s="52">
        <f t="shared" si="1199"/>
        <v>1.35E-2</v>
      </c>
      <c r="O718" s="52">
        <f t="shared" si="1199"/>
        <v>0</v>
      </c>
      <c r="P718" s="52">
        <f t="shared" si="1199"/>
        <v>0</v>
      </c>
      <c r="Q718" s="52">
        <f t="shared" si="1199"/>
        <v>1.35E-2</v>
      </c>
      <c r="R718" s="52">
        <f t="shared" si="1199"/>
        <v>0</v>
      </c>
      <c r="S718" s="52">
        <f t="shared" si="1199"/>
        <v>0</v>
      </c>
      <c r="T718" s="52">
        <f t="shared" si="1199"/>
        <v>1.35E-2</v>
      </c>
      <c r="U718" s="52">
        <f t="shared" si="1199"/>
        <v>0</v>
      </c>
      <c r="V718" s="180">
        <f>SUM(B718:U718)</f>
        <v>9.4500000000000001E-2</v>
      </c>
      <c r="W718" s="53">
        <f>V718/20</f>
        <v>4.725E-3</v>
      </c>
    </row>
    <row r="719" spans="1:23">
      <c r="A719" s="200" t="s">
        <v>680</v>
      </c>
      <c r="B719" s="52">
        <f>('Scenario 2 Assumptions'!$B$279*('Scenario 2 Assumptions'!$B$339*0.5)/20)</f>
        <v>1.6875000000000001E-4</v>
      </c>
      <c r="C719" s="52">
        <f>('Scenario 2 Assumptions'!$B$279*('Scenario 2 Assumptions'!$B$339*0.5)/20)</f>
        <v>1.6875000000000001E-4</v>
      </c>
      <c r="D719" s="52">
        <f>('Scenario 2 Assumptions'!$B$279*('Scenario 2 Assumptions'!$B$339*0.5)/20)</f>
        <v>1.6875000000000001E-4</v>
      </c>
      <c r="E719" s="52">
        <f>('Scenario 2 Assumptions'!$B$279*('Scenario 2 Assumptions'!$B$339*0.5)/20)</f>
        <v>1.6875000000000001E-4</v>
      </c>
      <c r="F719" s="52">
        <f>('Scenario 2 Assumptions'!$B$279*('Scenario 2 Assumptions'!$B$339*0.5)/20)</f>
        <v>1.6875000000000001E-4</v>
      </c>
      <c r="G719" s="52">
        <f>('Scenario 2 Assumptions'!$B$279*('Scenario 2 Assumptions'!$B$339*0.5)/20)</f>
        <v>1.6875000000000001E-4</v>
      </c>
      <c r="H719" s="52">
        <f>('Scenario 2 Assumptions'!$B$279*('Scenario 2 Assumptions'!$B$339*0.5)/20)</f>
        <v>1.6875000000000001E-4</v>
      </c>
      <c r="I719" s="52">
        <f>('Scenario 2 Assumptions'!$B$279*('Scenario 2 Assumptions'!$B$339*0.5)/20)</f>
        <v>1.6875000000000001E-4</v>
      </c>
      <c r="J719" s="52">
        <f>('Scenario 2 Assumptions'!$B$279*('Scenario 2 Assumptions'!$B$339*0.5)/20)</f>
        <v>1.6875000000000001E-4</v>
      </c>
      <c r="K719" s="52">
        <f>('Scenario 2 Assumptions'!$B$279*('Scenario 2 Assumptions'!$B$339*0.5)/20)</f>
        <v>1.6875000000000001E-4</v>
      </c>
      <c r="L719" s="52">
        <f>('Scenario 2 Assumptions'!$B$279*('Scenario 2 Assumptions'!$B$339*0.5)/20)</f>
        <v>1.6875000000000001E-4</v>
      </c>
      <c r="M719" s="52">
        <f>('Scenario 2 Assumptions'!$B$279*('Scenario 2 Assumptions'!$B$339*0.5)/20)</f>
        <v>1.6875000000000001E-4</v>
      </c>
      <c r="N719" s="52">
        <f>('Scenario 2 Assumptions'!$B$279*('Scenario 2 Assumptions'!$B$339*0.5)/20)</f>
        <v>1.6875000000000001E-4</v>
      </c>
      <c r="O719" s="52">
        <f>('Scenario 2 Assumptions'!$B$279*('Scenario 2 Assumptions'!$B$339*0.5)/20)</f>
        <v>1.6875000000000001E-4</v>
      </c>
      <c r="P719" s="52">
        <f>('Scenario 2 Assumptions'!$B$279*('Scenario 2 Assumptions'!$B$339*0.5)/20)</f>
        <v>1.6875000000000001E-4</v>
      </c>
      <c r="Q719" s="52">
        <f>('Scenario 2 Assumptions'!$B$279*('Scenario 2 Assumptions'!$B$339*0.5)/20)</f>
        <v>1.6875000000000001E-4</v>
      </c>
      <c r="R719" s="52">
        <f>('Scenario 2 Assumptions'!$B$279*('Scenario 2 Assumptions'!$B$339*0.5)/20)</f>
        <v>1.6875000000000001E-4</v>
      </c>
      <c r="S719" s="52">
        <f>('Scenario 2 Assumptions'!$B$279*('Scenario 2 Assumptions'!$B$339*0.5)/20)</f>
        <v>1.6875000000000001E-4</v>
      </c>
      <c r="T719" s="52">
        <f>('Scenario 2 Assumptions'!$B$279*('Scenario 2 Assumptions'!$B$339*0.5)/20)</f>
        <v>1.6875000000000001E-4</v>
      </c>
      <c r="U719" s="52">
        <f>('Scenario 2 Assumptions'!$B$279*('Scenario 2 Assumptions'!$B$339*0.5)/20)</f>
        <v>1.6875000000000001E-4</v>
      </c>
      <c r="V719" s="180">
        <f t="shared" ref="V719:V720" si="1200">SUM(B719:U719)</f>
        <v>3.3750000000000008E-3</v>
      </c>
      <c r="W719" s="53">
        <f t="shared" ref="W719:W720" si="1201">V719/20</f>
        <v>1.6875000000000004E-4</v>
      </c>
    </row>
    <row r="720" spans="1:23" s="3" customFormat="1">
      <c r="A720" s="49" t="s">
        <v>664</v>
      </c>
      <c r="B720" s="34">
        <f>SUM(B718:B719)</f>
        <v>1.366875E-2</v>
      </c>
      <c r="C720" s="34">
        <f t="shared" ref="C720" si="1202">SUM(C718:C719)</f>
        <v>1.6875000000000001E-4</v>
      </c>
      <c r="D720" s="34">
        <f t="shared" ref="D720" si="1203">SUM(D718:D719)</f>
        <v>1.6875000000000001E-4</v>
      </c>
      <c r="E720" s="34">
        <f t="shared" ref="E720" si="1204">SUM(E718:E719)</f>
        <v>1.366875E-2</v>
      </c>
      <c r="F720" s="34">
        <f t="shared" ref="F720" si="1205">SUM(F718:F719)</f>
        <v>1.6875000000000001E-4</v>
      </c>
      <c r="G720" s="34">
        <f t="shared" ref="G720" si="1206">SUM(G718:G719)</f>
        <v>1.6875000000000001E-4</v>
      </c>
      <c r="H720" s="34">
        <f t="shared" ref="H720" si="1207">SUM(H718:H719)</f>
        <v>1.366875E-2</v>
      </c>
      <c r="I720" s="34">
        <f t="shared" ref="I720" si="1208">SUM(I718:I719)</f>
        <v>1.6875000000000001E-4</v>
      </c>
      <c r="J720" s="34">
        <f t="shared" ref="J720" si="1209">SUM(J718:J719)</f>
        <v>1.6875000000000001E-4</v>
      </c>
      <c r="K720" s="34">
        <f t="shared" ref="K720" si="1210">SUM(K718:K719)</f>
        <v>1.366875E-2</v>
      </c>
      <c r="L720" s="34">
        <f t="shared" ref="L720" si="1211">SUM(L718:L719)</f>
        <v>1.6875000000000001E-4</v>
      </c>
      <c r="M720" s="34">
        <f t="shared" ref="M720" si="1212">SUM(M718:M719)</f>
        <v>1.6875000000000001E-4</v>
      </c>
      <c r="N720" s="34">
        <f t="shared" ref="N720" si="1213">SUM(N718:N719)</f>
        <v>1.366875E-2</v>
      </c>
      <c r="O720" s="34">
        <f t="shared" ref="O720" si="1214">SUM(O718:O719)</f>
        <v>1.6875000000000001E-4</v>
      </c>
      <c r="P720" s="34">
        <f t="shared" ref="P720" si="1215">SUM(P718:P719)</f>
        <v>1.6875000000000001E-4</v>
      </c>
      <c r="Q720" s="34">
        <f t="shared" ref="Q720" si="1216">SUM(Q718:Q719)</f>
        <v>1.366875E-2</v>
      </c>
      <c r="R720" s="34">
        <f t="shared" ref="R720" si="1217">SUM(R718:R719)</f>
        <v>1.6875000000000001E-4</v>
      </c>
      <c r="S720" s="34">
        <f t="shared" ref="S720" si="1218">SUM(S718:S719)</f>
        <v>1.6875000000000001E-4</v>
      </c>
      <c r="T720" s="34">
        <f t="shared" ref="T720" si="1219">SUM(T718:T719)</f>
        <v>1.366875E-2</v>
      </c>
      <c r="U720" s="34">
        <f t="shared" ref="U720" si="1220">SUM(U718:U719)</f>
        <v>1.6875000000000001E-4</v>
      </c>
      <c r="V720" s="180">
        <f t="shared" si="1200"/>
        <v>9.787499999999999E-2</v>
      </c>
      <c r="W720" s="53">
        <f t="shared" si="1201"/>
        <v>4.8937499999999997E-3</v>
      </c>
    </row>
    <row r="721" spans="1:25" ht="13.5" customHeight="1">
      <c r="A721" s="134" t="s">
        <v>123</v>
      </c>
      <c r="B721" s="52">
        <v>0.96618357487922713</v>
      </c>
      <c r="C721" s="52">
        <v>0.93351070036640305</v>
      </c>
      <c r="D721" s="52">
        <v>0.90194270566802237</v>
      </c>
      <c r="E721" s="52">
        <v>0.87144222769857238</v>
      </c>
      <c r="F721" s="52">
        <v>0.84197316685852419</v>
      </c>
      <c r="G721" s="52">
        <v>0.81350064430775282</v>
      </c>
      <c r="H721" s="52">
        <v>0.78599096068381913</v>
      </c>
      <c r="I721" s="52">
        <v>0.75941155621625056</v>
      </c>
      <c r="J721" s="52">
        <v>0.73373097218961414</v>
      </c>
      <c r="K721" s="52">
        <v>0.70891881370977217</v>
      </c>
      <c r="L721" s="52">
        <v>0.68494571372924851</v>
      </c>
      <c r="M721" s="52">
        <v>0.66178329828912896</v>
      </c>
      <c r="N721" s="52">
        <v>0.63940415293635666</v>
      </c>
      <c r="O721" s="52">
        <v>0.61778179027667302</v>
      </c>
      <c r="P721" s="52">
        <v>0.59689061862480497</v>
      </c>
      <c r="Q721" s="52">
        <v>0.57670591171478747</v>
      </c>
      <c r="R721" s="52">
        <v>0.55720377943457733</v>
      </c>
      <c r="S721" s="52">
        <v>0.53836113955031628</v>
      </c>
      <c r="T721" s="52">
        <v>0.52015569038677911</v>
      </c>
      <c r="U721" s="52">
        <v>0.50256588443167061</v>
      </c>
      <c r="V721" s="180"/>
      <c r="W721" s="133"/>
    </row>
    <row r="722" spans="1:25" s="81" customFormat="1">
      <c r="A722" s="50" t="s">
        <v>1069</v>
      </c>
      <c r="B722" s="34">
        <f t="shared" ref="B722:U722" si="1221">B721*B720</f>
        <v>1.3206521739130436E-2</v>
      </c>
      <c r="C722" s="34">
        <f t="shared" si="1221"/>
        <v>1.5752993068683053E-4</v>
      </c>
      <c r="D722" s="34">
        <f t="shared" si="1221"/>
        <v>1.5220283158147877E-4</v>
      </c>
      <c r="E722" s="34">
        <f t="shared" si="1221"/>
        <v>1.1911525949854862E-2</v>
      </c>
      <c r="F722" s="34">
        <f t="shared" si="1221"/>
        <v>1.4208297190737598E-4</v>
      </c>
      <c r="G722" s="34">
        <f t="shared" si="1221"/>
        <v>1.372782337269333E-4</v>
      </c>
      <c r="H722" s="34">
        <f t="shared" si="1221"/>
        <v>1.0743513943846953E-2</v>
      </c>
      <c r="I722" s="34">
        <f t="shared" si="1221"/>
        <v>1.281507001114923E-4</v>
      </c>
      <c r="J722" s="34">
        <f t="shared" si="1221"/>
        <v>1.238171015569974E-4</v>
      </c>
      <c r="K722" s="34">
        <f t="shared" si="1221"/>
        <v>9.6900340348954478E-3</v>
      </c>
      <c r="L722" s="34">
        <f t="shared" si="1221"/>
        <v>1.1558458919181069E-4</v>
      </c>
      <c r="M722" s="34">
        <f t="shared" si="1221"/>
        <v>1.1167593158629052E-4</v>
      </c>
      <c r="N722" s="34">
        <f t="shared" si="1221"/>
        <v>8.7398555154488255E-3</v>
      </c>
      <c r="O722" s="34">
        <f t="shared" si="1221"/>
        <v>1.0425067710918858E-4</v>
      </c>
      <c r="P722" s="34">
        <f t="shared" si="1221"/>
        <v>1.0072529189293584E-4</v>
      </c>
      <c r="Q722" s="34">
        <f t="shared" si="1221"/>
        <v>7.8828489307515015E-3</v>
      </c>
      <c r="R722" s="34">
        <f t="shared" si="1221"/>
        <v>9.402813777958493E-5</v>
      </c>
      <c r="S722" s="34">
        <f t="shared" si="1221"/>
        <v>9.0848442299115879E-5</v>
      </c>
      <c r="T722" s="34">
        <f t="shared" si="1221"/>
        <v>7.1098780929742872E-3</v>
      </c>
      <c r="U722" s="34">
        <f t="shared" si="1221"/>
        <v>8.4807992997844422E-5</v>
      </c>
      <c r="V722" s="182">
        <f>SUM(B722:U722)</f>
        <v>7.0827161039330191E-2</v>
      </c>
      <c r="W722" s="35"/>
    </row>
    <row r="723" spans="1:25" s="81" customFormat="1">
      <c r="A723" s="49"/>
      <c r="B723" s="34"/>
      <c r="C723" s="34"/>
      <c r="D723" s="34"/>
      <c r="E723" s="34"/>
      <c r="F723" s="34"/>
      <c r="G723" s="34"/>
      <c r="H723" s="34"/>
      <c r="I723" s="34"/>
      <c r="J723" s="34"/>
      <c r="K723" s="34"/>
      <c r="L723" s="34"/>
      <c r="M723" s="34"/>
      <c r="N723" s="34"/>
      <c r="O723" s="34"/>
      <c r="P723" s="34"/>
      <c r="Q723" s="34"/>
      <c r="R723" s="34"/>
      <c r="S723" s="34"/>
      <c r="T723" s="34"/>
      <c r="U723" s="34"/>
      <c r="V723" s="182"/>
      <c r="W723" s="35"/>
    </row>
    <row r="724" spans="1:25" s="81" customFormat="1">
      <c r="A724" s="131" t="s">
        <v>1137</v>
      </c>
      <c r="B724" s="100"/>
      <c r="C724" s="100"/>
      <c r="D724" s="100"/>
      <c r="E724" s="100"/>
      <c r="F724" s="100"/>
      <c r="G724" s="100"/>
      <c r="H724" s="100"/>
      <c r="I724" s="100"/>
      <c r="J724" s="100"/>
      <c r="K724" s="100"/>
      <c r="L724" s="100"/>
      <c r="M724" s="100"/>
      <c r="N724" s="100"/>
      <c r="O724" s="100"/>
      <c r="P724" s="100"/>
      <c r="Q724" s="100"/>
      <c r="R724" s="100"/>
      <c r="S724" s="100"/>
      <c r="T724" s="100"/>
      <c r="U724" s="100"/>
      <c r="V724" s="179"/>
      <c r="W724" s="140"/>
    </row>
    <row r="725" spans="1:25">
      <c r="A725" s="200" t="s">
        <v>679</v>
      </c>
      <c r="B725" s="52">
        <f t="shared" ref="B725:U725" si="1222">B185</f>
        <v>1.35E-2</v>
      </c>
      <c r="C725" s="52">
        <f t="shared" si="1222"/>
        <v>0</v>
      </c>
      <c r="D725" s="52">
        <f t="shared" si="1222"/>
        <v>0</v>
      </c>
      <c r="E725" s="52">
        <f t="shared" si="1222"/>
        <v>1.35E-2</v>
      </c>
      <c r="F725" s="52">
        <f t="shared" si="1222"/>
        <v>0</v>
      </c>
      <c r="G725" s="52">
        <f t="shared" si="1222"/>
        <v>0</v>
      </c>
      <c r="H725" s="52">
        <f t="shared" si="1222"/>
        <v>1.35E-2</v>
      </c>
      <c r="I725" s="52">
        <f t="shared" si="1222"/>
        <v>0</v>
      </c>
      <c r="J725" s="52">
        <f t="shared" si="1222"/>
        <v>0</v>
      </c>
      <c r="K725" s="52">
        <f t="shared" si="1222"/>
        <v>1.35E-2</v>
      </c>
      <c r="L725" s="52">
        <f t="shared" si="1222"/>
        <v>0</v>
      </c>
      <c r="M725" s="52">
        <f t="shared" si="1222"/>
        <v>0</v>
      </c>
      <c r="N725" s="52">
        <f t="shared" si="1222"/>
        <v>1.35E-2</v>
      </c>
      <c r="O725" s="52">
        <f t="shared" si="1222"/>
        <v>0</v>
      </c>
      <c r="P725" s="52">
        <f t="shared" si="1222"/>
        <v>0</v>
      </c>
      <c r="Q725" s="52">
        <f t="shared" si="1222"/>
        <v>1.35E-2</v>
      </c>
      <c r="R725" s="52">
        <f t="shared" si="1222"/>
        <v>0</v>
      </c>
      <c r="S725" s="52">
        <f t="shared" si="1222"/>
        <v>0</v>
      </c>
      <c r="T725" s="52">
        <f t="shared" si="1222"/>
        <v>1.35E-2</v>
      </c>
      <c r="U725" s="52">
        <f t="shared" si="1222"/>
        <v>0</v>
      </c>
      <c r="V725" s="180">
        <f>SUM(B725:U725)</f>
        <v>9.4500000000000001E-2</v>
      </c>
      <c r="W725" s="53">
        <f>V725/20</f>
        <v>4.725E-3</v>
      </c>
    </row>
    <row r="726" spans="1:25">
      <c r="A726" s="200" t="s">
        <v>680</v>
      </c>
      <c r="B726" s="52">
        <f>('Scenario 2 Assumptions'!$B$279*('Scenario 2 Assumptions'!$B$338*0.5)/20)</f>
        <v>1.6875000000000001E-4</v>
      </c>
      <c r="C726" s="52">
        <f>('Scenario 2 Assumptions'!$B$279*('Scenario 2 Assumptions'!$B$338*0.5)/20)</f>
        <v>1.6875000000000001E-4</v>
      </c>
      <c r="D726" s="52">
        <f>('Scenario 2 Assumptions'!$B$279*('Scenario 2 Assumptions'!$B$338*0.5)/20)</f>
        <v>1.6875000000000001E-4</v>
      </c>
      <c r="E726" s="52">
        <f>('Scenario 2 Assumptions'!$B$279*('Scenario 2 Assumptions'!$B$338*0.5)/20)</f>
        <v>1.6875000000000001E-4</v>
      </c>
      <c r="F726" s="52">
        <f>('Scenario 2 Assumptions'!$B$279*('Scenario 2 Assumptions'!$B$338*0.5)/20)</f>
        <v>1.6875000000000001E-4</v>
      </c>
      <c r="G726" s="52">
        <f>('Scenario 2 Assumptions'!$B$279*('Scenario 2 Assumptions'!$B$338*0.5)/20)</f>
        <v>1.6875000000000001E-4</v>
      </c>
      <c r="H726" s="52">
        <f>('Scenario 2 Assumptions'!$B$279*('Scenario 2 Assumptions'!$B$338*0.5)/20)</f>
        <v>1.6875000000000001E-4</v>
      </c>
      <c r="I726" s="52">
        <f>('Scenario 2 Assumptions'!$B$279*('Scenario 2 Assumptions'!$B$338*0.5)/20)</f>
        <v>1.6875000000000001E-4</v>
      </c>
      <c r="J726" s="52">
        <f>('Scenario 2 Assumptions'!$B$279*('Scenario 2 Assumptions'!$B$338*0.5)/20)</f>
        <v>1.6875000000000001E-4</v>
      </c>
      <c r="K726" s="52">
        <f>('Scenario 2 Assumptions'!$B$279*('Scenario 2 Assumptions'!$B$338*0.5)/20)</f>
        <v>1.6875000000000001E-4</v>
      </c>
      <c r="L726" s="52">
        <f>('Scenario 2 Assumptions'!$B$279*('Scenario 2 Assumptions'!$B$338*0.5)/20)</f>
        <v>1.6875000000000001E-4</v>
      </c>
      <c r="M726" s="52">
        <f>('Scenario 2 Assumptions'!$B$279*('Scenario 2 Assumptions'!$B$338*0.5)/20)</f>
        <v>1.6875000000000001E-4</v>
      </c>
      <c r="N726" s="52">
        <f>('Scenario 2 Assumptions'!$B$279*('Scenario 2 Assumptions'!$B$338*0.5)/20)</f>
        <v>1.6875000000000001E-4</v>
      </c>
      <c r="O726" s="52">
        <f>('Scenario 2 Assumptions'!$B$279*('Scenario 2 Assumptions'!$B$338*0.5)/20)</f>
        <v>1.6875000000000001E-4</v>
      </c>
      <c r="P726" s="52">
        <f>('Scenario 2 Assumptions'!$B$279*('Scenario 2 Assumptions'!$B$338*0.5)/20)</f>
        <v>1.6875000000000001E-4</v>
      </c>
      <c r="Q726" s="52">
        <f>('Scenario 2 Assumptions'!$B$279*('Scenario 2 Assumptions'!$B$338*0.5)/20)</f>
        <v>1.6875000000000001E-4</v>
      </c>
      <c r="R726" s="52">
        <f>('Scenario 2 Assumptions'!$B$279*('Scenario 2 Assumptions'!$B$338*0.5)/20)</f>
        <v>1.6875000000000001E-4</v>
      </c>
      <c r="S726" s="52">
        <f>('Scenario 2 Assumptions'!$B$279*('Scenario 2 Assumptions'!$B$338*0.5)/20)</f>
        <v>1.6875000000000001E-4</v>
      </c>
      <c r="T726" s="52">
        <f>('Scenario 2 Assumptions'!$B$279*('Scenario 2 Assumptions'!$B$338*0.5)/20)</f>
        <v>1.6875000000000001E-4</v>
      </c>
      <c r="U726" s="52">
        <f>('Scenario 2 Assumptions'!$B$279*('Scenario 2 Assumptions'!$B$338*0.5)/20)</f>
        <v>1.6875000000000001E-4</v>
      </c>
      <c r="V726" s="180">
        <f t="shared" ref="V726:V727" si="1223">SUM(B726:U726)</f>
        <v>3.3750000000000008E-3</v>
      </c>
      <c r="W726" s="53">
        <f t="shared" ref="W726:W727" si="1224">V726/20</f>
        <v>1.6875000000000004E-4</v>
      </c>
    </row>
    <row r="727" spans="1:25">
      <c r="A727" s="49" t="s">
        <v>664</v>
      </c>
      <c r="B727" s="34">
        <f>SUM(B725:B726)</f>
        <v>1.366875E-2</v>
      </c>
      <c r="C727" s="34">
        <f t="shared" ref="C727" si="1225">SUM(C725:C726)</f>
        <v>1.6875000000000001E-4</v>
      </c>
      <c r="D727" s="34">
        <f t="shared" ref="D727" si="1226">SUM(D725:D726)</f>
        <v>1.6875000000000001E-4</v>
      </c>
      <c r="E727" s="34">
        <f t="shared" ref="E727" si="1227">SUM(E725:E726)</f>
        <v>1.366875E-2</v>
      </c>
      <c r="F727" s="34">
        <f t="shared" ref="F727" si="1228">SUM(F725:F726)</f>
        <v>1.6875000000000001E-4</v>
      </c>
      <c r="G727" s="34">
        <f t="shared" ref="G727" si="1229">SUM(G725:G726)</f>
        <v>1.6875000000000001E-4</v>
      </c>
      <c r="H727" s="34">
        <f t="shared" ref="H727" si="1230">SUM(H725:H726)</f>
        <v>1.366875E-2</v>
      </c>
      <c r="I727" s="34">
        <f t="shared" ref="I727" si="1231">SUM(I725:I726)</f>
        <v>1.6875000000000001E-4</v>
      </c>
      <c r="J727" s="34">
        <f t="shared" ref="J727" si="1232">SUM(J725:J726)</f>
        <v>1.6875000000000001E-4</v>
      </c>
      <c r="K727" s="34">
        <f t="shared" ref="K727" si="1233">SUM(K725:K726)</f>
        <v>1.366875E-2</v>
      </c>
      <c r="L727" s="34">
        <f t="shared" ref="L727" si="1234">SUM(L725:L726)</f>
        <v>1.6875000000000001E-4</v>
      </c>
      <c r="M727" s="34">
        <f t="shared" ref="M727" si="1235">SUM(M725:M726)</f>
        <v>1.6875000000000001E-4</v>
      </c>
      <c r="N727" s="34">
        <f t="shared" ref="N727" si="1236">SUM(N725:N726)</f>
        <v>1.366875E-2</v>
      </c>
      <c r="O727" s="34">
        <f t="shared" ref="O727" si="1237">SUM(O725:O726)</f>
        <v>1.6875000000000001E-4</v>
      </c>
      <c r="P727" s="34">
        <f t="shared" ref="P727" si="1238">SUM(P725:P726)</f>
        <v>1.6875000000000001E-4</v>
      </c>
      <c r="Q727" s="34">
        <f t="shared" ref="Q727" si="1239">SUM(Q725:Q726)</f>
        <v>1.366875E-2</v>
      </c>
      <c r="R727" s="34">
        <f t="shared" ref="R727" si="1240">SUM(R725:R726)</f>
        <v>1.6875000000000001E-4</v>
      </c>
      <c r="S727" s="34">
        <f t="shared" ref="S727" si="1241">SUM(S725:S726)</f>
        <v>1.6875000000000001E-4</v>
      </c>
      <c r="T727" s="34">
        <f t="shared" ref="T727" si="1242">SUM(T725:T726)</f>
        <v>1.366875E-2</v>
      </c>
      <c r="U727" s="34">
        <f t="shared" ref="U727" si="1243">SUM(U725:U726)</f>
        <v>1.6875000000000001E-4</v>
      </c>
      <c r="V727" s="180">
        <f t="shared" si="1223"/>
        <v>9.787499999999999E-2</v>
      </c>
      <c r="W727" s="53">
        <f t="shared" si="1224"/>
        <v>4.8937499999999997E-3</v>
      </c>
    </row>
    <row r="728" spans="1:25" s="3" customFormat="1">
      <c r="A728" s="134" t="s">
        <v>123</v>
      </c>
      <c r="B728" s="52">
        <v>0.96618357487922713</v>
      </c>
      <c r="C728" s="52">
        <v>0.93351070036640305</v>
      </c>
      <c r="D728" s="52">
        <v>0.90194270566802237</v>
      </c>
      <c r="E728" s="52">
        <v>0.87144222769857238</v>
      </c>
      <c r="F728" s="52">
        <v>0.84197316685852419</v>
      </c>
      <c r="G728" s="52">
        <v>0.81350064430775282</v>
      </c>
      <c r="H728" s="52">
        <v>0.78599096068381913</v>
      </c>
      <c r="I728" s="52">
        <v>0.75941155621625056</v>
      </c>
      <c r="J728" s="52">
        <v>0.73373097218961414</v>
      </c>
      <c r="K728" s="52">
        <v>0.70891881370977217</v>
      </c>
      <c r="L728" s="52">
        <v>0.68494571372924851</v>
      </c>
      <c r="M728" s="52">
        <v>0.66178329828912896</v>
      </c>
      <c r="N728" s="52">
        <v>0.63940415293635666</v>
      </c>
      <c r="O728" s="52">
        <v>0.61778179027667302</v>
      </c>
      <c r="P728" s="52">
        <v>0.59689061862480497</v>
      </c>
      <c r="Q728" s="52">
        <v>0.57670591171478747</v>
      </c>
      <c r="R728" s="52">
        <v>0.55720377943457733</v>
      </c>
      <c r="S728" s="52">
        <v>0.53836113955031628</v>
      </c>
      <c r="T728" s="52">
        <v>0.52015569038677911</v>
      </c>
      <c r="U728" s="52">
        <v>0.50256588443167061</v>
      </c>
      <c r="V728" s="180"/>
      <c r="W728" s="133"/>
    </row>
    <row r="729" spans="1:25" ht="13.5" customHeight="1" thickBot="1">
      <c r="A729" s="50" t="s">
        <v>1069</v>
      </c>
      <c r="B729" s="38">
        <f t="shared" ref="B729:U729" si="1244">B728*B727</f>
        <v>1.3206521739130436E-2</v>
      </c>
      <c r="C729" s="38">
        <f t="shared" si="1244"/>
        <v>1.5752993068683053E-4</v>
      </c>
      <c r="D729" s="38">
        <f t="shared" si="1244"/>
        <v>1.5220283158147877E-4</v>
      </c>
      <c r="E729" s="38">
        <f t="shared" si="1244"/>
        <v>1.1911525949854862E-2</v>
      </c>
      <c r="F729" s="38">
        <f t="shared" si="1244"/>
        <v>1.4208297190737598E-4</v>
      </c>
      <c r="G729" s="38">
        <f t="shared" si="1244"/>
        <v>1.372782337269333E-4</v>
      </c>
      <c r="H729" s="38">
        <f t="shared" si="1244"/>
        <v>1.0743513943846953E-2</v>
      </c>
      <c r="I729" s="38">
        <f t="shared" si="1244"/>
        <v>1.281507001114923E-4</v>
      </c>
      <c r="J729" s="38">
        <f t="shared" si="1244"/>
        <v>1.238171015569974E-4</v>
      </c>
      <c r="K729" s="38">
        <f t="shared" si="1244"/>
        <v>9.6900340348954478E-3</v>
      </c>
      <c r="L729" s="38">
        <f t="shared" si="1244"/>
        <v>1.1558458919181069E-4</v>
      </c>
      <c r="M729" s="38">
        <f t="shared" si="1244"/>
        <v>1.1167593158629052E-4</v>
      </c>
      <c r="N729" s="38">
        <f t="shared" si="1244"/>
        <v>8.7398555154488255E-3</v>
      </c>
      <c r="O729" s="38">
        <f t="shared" si="1244"/>
        <v>1.0425067710918858E-4</v>
      </c>
      <c r="P729" s="38">
        <f t="shared" si="1244"/>
        <v>1.0072529189293584E-4</v>
      </c>
      <c r="Q729" s="38">
        <f t="shared" si="1244"/>
        <v>7.8828489307515015E-3</v>
      </c>
      <c r="R729" s="38">
        <f t="shared" si="1244"/>
        <v>9.402813777958493E-5</v>
      </c>
      <c r="S729" s="38">
        <f t="shared" si="1244"/>
        <v>9.0848442299115879E-5</v>
      </c>
      <c r="T729" s="38">
        <f t="shared" si="1244"/>
        <v>7.1098780929742872E-3</v>
      </c>
      <c r="U729" s="38">
        <f t="shared" si="1244"/>
        <v>8.4807992997844422E-5</v>
      </c>
      <c r="V729" s="183">
        <f>SUM(B729:U729)</f>
        <v>7.0827161039330191E-2</v>
      </c>
      <c r="W729" s="39"/>
    </row>
    <row r="730" spans="1:25" s="81" customFormat="1">
      <c r="A730" s="274" t="s">
        <v>1114</v>
      </c>
      <c r="B730" s="34"/>
      <c r="C730" s="34"/>
      <c r="D730" s="34"/>
      <c r="E730" s="34"/>
      <c r="F730" s="34"/>
      <c r="G730" s="34"/>
      <c r="H730" s="34"/>
      <c r="I730" s="34"/>
      <c r="J730" s="34"/>
      <c r="K730" s="34"/>
      <c r="L730" s="34"/>
      <c r="M730" s="34"/>
      <c r="N730" s="34"/>
      <c r="O730" s="34"/>
      <c r="P730" s="34"/>
      <c r="Q730" s="34"/>
      <c r="R730" s="34"/>
      <c r="S730" s="34"/>
      <c r="T730" s="34"/>
      <c r="U730" s="34"/>
      <c r="V730" s="182"/>
      <c r="W730" s="35"/>
    </row>
    <row r="731" spans="1:25" s="81" customFormat="1">
      <c r="B731" s="100"/>
      <c r="C731" s="100"/>
      <c r="D731" s="100"/>
      <c r="E731" s="100"/>
      <c r="F731" s="100"/>
      <c r="G731" s="100"/>
      <c r="H731" s="100"/>
      <c r="I731" s="100"/>
      <c r="J731" s="100"/>
      <c r="K731" s="100"/>
      <c r="L731" s="100"/>
      <c r="M731" s="100"/>
      <c r="N731" s="100"/>
      <c r="O731" s="100"/>
      <c r="P731" s="100"/>
      <c r="Q731" s="100"/>
      <c r="R731" s="100"/>
      <c r="S731" s="100"/>
      <c r="T731" s="100"/>
      <c r="U731" s="100"/>
      <c r="V731" s="179"/>
      <c r="W731" s="140"/>
    </row>
    <row r="732" spans="1:25">
      <c r="A732" s="131" t="s">
        <v>1190</v>
      </c>
      <c r="B732" s="100"/>
      <c r="C732" s="100"/>
      <c r="D732" s="100"/>
      <c r="E732" s="100"/>
      <c r="F732" s="100"/>
      <c r="G732" s="100"/>
      <c r="H732" s="100"/>
      <c r="I732" s="100"/>
      <c r="J732" s="100"/>
      <c r="K732" s="100"/>
      <c r="L732" s="100"/>
      <c r="M732" s="100"/>
      <c r="N732" s="100"/>
      <c r="O732" s="100"/>
      <c r="P732" s="100"/>
      <c r="Q732" s="100"/>
      <c r="R732" s="100"/>
      <c r="S732" s="100"/>
      <c r="T732" s="100"/>
      <c r="U732" s="100"/>
      <c r="V732" s="179"/>
      <c r="W732" s="140"/>
      <c r="Y732" s="28"/>
    </row>
    <row r="733" spans="1:25">
      <c r="A733" s="200" t="s">
        <v>679</v>
      </c>
      <c r="B733" s="52">
        <v>0</v>
      </c>
      <c r="C733" s="52">
        <v>0</v>
      </c>
      <c r="D733" s="52">
        <v>0</v>
      </c>
      <c r="E733" s="52">
        <v>0</v>
      </c>
      <c r="F733" s="52">
        <v>0</v>
      </c>
      <c r="G733" s="52">
        <v>0</v>
      </c>
      <c r="H733" s="52">
        <v>0</v>
      </c>
      <c r="I733" s="52">
        <v>0</v>
      </c>
      <c r="J733" s="52">
        <v>0</v>
      </c>
      <c r="K733" s="52">
        <v>0</v>
      </c>
      <c r="L733" s="52">
        <v>0</v>
      </c>
      <c r="M733" s="52">
        <v>0</v>
      </c>
      <c r="N733" s="52">
        <v>0</v>
      </c>
      <c r="O733" s="52">
        <v>0</v>
      </c>
      <c r="P733" s="52">
        <v>0</v>
      </c>
      <c r="Q733" s="52">
        <v>0</v>
      </c>
      <c r="R733" s="52">
        <v>0</v>
      </c>
      <c r="S733" s="52">
        <v>0</v>
      </c>
      <c r="T733" s="52">
        <v>0</v>
      </c>
      <c r="U733" s="52">
        <v>0</v>
      </c>
      <c r="V733" s="180">
        <f>SUM(B733:U733)</f>
        <v>0</v>
      </c>
      <c r="W733" s="53">
        <f>V733/20</f>
        <v>0</v>
      </c>
      <c r="Y733" s="28"/>
    </row>
    <row r="734" spans="1:25">
      <c r="A734" s="200" t="s">
        <v>680</v>
      </c>
      <c r="B734" s="52">
        <f>('Scenario 2 Assumptions'!$B$279*('Scenario 2 Assumptions'!$B$320*0.5)/20)</f>
        <v>1.6875000000000001E-4</v>
      </c>
      <c r="C734" s="52">
        <f>('Scenario 2 Assumptions'!$B$279*('Scenario 2 Assumptions'!$B$320*0.5)/20)</f>
        <v>1.6875000000000001E-4</v>
      </c>
      <c r="D734" s="52">
        <f>('Scenario 2 Assumptions'!$B$279*('Scenario 2 Assumptions'!$B$320*0.5)/20)</f>
        <v>1.6875000000000001E-4</v>
      </c>
      <c r="E734" s="52">
        <f>('Scenario 2 Assumptions'!$B$279*('Scenario 2 Assumptions'!$B$320*0.5)/20)</f>
        <v>1.6875000000000001E-4</v>
      </c>
      <c r="F734" s="52">
        <f>('Scenario 2 Assumptions'!$B$279*('Scenario 2 Assumptions'!$B$320*0.5)/20)</f>
        <v>1.6875000000000001E-4</v>
      </c>
      <c r="G734" s="52">
        <f>('Scenario 2 Assumptions'!$B$279*('Scenario 2 Assumptions'!$B$320*0.5)/20)</f>
        <v>1.6875000000000001E-4</v>
      </c>
      <c r="H734" s="52">
        <f>('Scenario 2 Assumptions'!$B$279*('Scenario 2 Assumptions'!$B$320*0.5)/20)</f>
        <v>1.6875000000000001E-4</v>
      </c>
      <c r="I734" s="52">
        <f>('Scenario 2 Assumptions'!$B$279*('Scenario 2 Assumptions'!$B$320*0.5)/20)</f>
        <v>1.6875000000000001E-4</v>
      </c>
      <c r="J734" s="52">
        <f>('Scenario 2 Assumptions'!$B$279*('Scenario 2 Assumptions'!$B$320*0.5)/20)</f>
        <v>1.6875000000000001E-4</v>
      </c>
      <c r="K734" s="52">
        <f>('Scenario 2 Assumptions'!$B$279*('Scenario 2 Assumptions'!$B$320*0.5)/20)</f>
        <v>1.6875000000000001E-4</v>
      </c>
      <c r="L734" s="52">
        <f>('Scenario 2 Assumptions'!$B$279*('Scenario 2 Assumptions'!$B$320*0.5)/20)</f>
        <v>1.6875000000000001E-4</v>
      </c>
      <c r="M734" s="52">
        <f>('Scenario 2 Assumptions'!$B$279*('Scenario 2 Assumptions'!$B$320*0.5)/20)</f>
        <v>1.6875000000000001E-4</v>
      </c>
      <c r="N734" s="52">
        <f>('Scenario 2 Assumptions'!$B$279*('Scenario 2 Assumptions'!$B$320*0.5)/20)</f>
        <v>1.6875000000000001E-4</v>
      </c>
      <c r="O734" s="52">
        <f>('Scenario 2 Assumptions'!$B$279*('Scenario 2 Assumptions'!$B$320*0.5)/20)</f>
        <v>1.6875000000000001E-4</v>
      </c>
      <c r="P734" s="52">
        <f>('Scenario 2 Assumptions'!$B$279*('Scenario 2 Assumptions'!$B$320*0.5)/20)</f>
        <v>1.6875000000000001E-4</v>
      </c>
      <c r="Q734" s="52">
        <f>('Scenario 2 Assumptions'!$B$279*('Scenario 2 Assumptions'!$B$320*0.5)/20)</f>
        <v>1.6875000000000001E-4</v>
      </c>
      <c r="R734" s="52">
        <f>('Scenario 2 Assumptions'!$B$279*('Scenario 2 Assumptions'!$B$320*0.5)/20)</f>
        <v>1.6875000000000001E-4</v>
      </c>
      <c r="S734" s="52">
        <f>('Scenario 2 Assumptions'!$B$279*('Scenario 2 Assumptions'!$B$320*0.5)/20)</f>
        <v>1.6875000000000001E-4</v>
      </c>
      <c r="T734" s="52">
        <f>('Scenario 2 Assumptions'!$B$279*('Scenario 2 Assumptions'!$B$320*0.5)/20)</f>
        <v>1.6875000000000001E-4</v>
      </c>
      <c r="U734" s="52">
        <f>('Scenario 2 Assumptions'!$B$279*('Scenario 2 Assumptions'!$B$320*0.5)/20)</f>
        <v>1.6875000000000001E-4</v>
      </c>
      <c r="V734" s="180">
        <f t="shared" ref="V734:V735" si="1245">SUM(B734:U734)</f>
        <v>3.3750000000000008E-3</v>
      </c>
      <c r="W734" s="53">
        <f t="shared" ref="W734:W735" si="1246">V734/20</f>
        <v>1.6875000000000004E-4</v>
      </c>
      <c r="Y734" s="28"/>
    </row>
    <row r="735" spans="1:25" s="3" customFormat="1">
      <c r="A735" s="49" t="s">
        <v>664</v>
      </c>
      <c r="B735" s="34">
        <f>SUM(B733:B734)</f>
        <v>1.6875000000000001E-4</v>
      </c>
      <c r="C735" s="34">
        <f t="shared" ref="C735" si="1247">SUM(C733:C734)</f>
        <v>1.6875000000000001E-4</v>
      </c>
      <c r="D735" s="34">
        <f t="shared" ref="D735" si="1248">SUM(D733:D734)</f>
        <v>1.6875000000000001E-4</v>
      </c>
      <c r="E735" s="34">
        <f t="shared" ref="E735" si="1249">SUM(E733:E734)</f>
        <v>1.6875000000000001E-4</v>
      </c>
      <c r="F735" s="34">
        <f t="shared" ref="F735" si="1250">SUM(F733:F734)</f>
        <v>1.6875000000000001E-4</v>
      </c>
      <c r="G735" s="34">
        <f t="shared" ref="G735" si="1251">SUM(G733:G734)</f>
        <v>1.6875000000000001E-4</v>
      </c>
      <c r="H735" s="34">
        <f t="shared" ref="H735" si="1252">SUM(H733:H734)</f>
        <v>1.6875000000000001E-4</v>
      </c>
      <c r="I735" s="34">
        <f t="shared" ref="I735" si="1253">SUM(I733:I734)</f>
        <v>1.6875000000000001E-4</v>
      </c>
      <c r="J735" s="34">
        <f t="shared" ref="J735" si="1254">SUM(J733:J734)</f>
        <v>1.6875000000000001E-4</v>
      </c>
      <c r="K735" s="34">
        <f t="shared" ref="K735" si="1255">SUM(K733:K734)</f>
        <v>1.6875000000000001E-4</v>
      </c>
      <c r="L735" s="34">
        <f t="shared" ref="L735" si="1256">SUM(L733:L734)</f>
        <v>1.6875000000000001E-4</v>
      </c>
      <c r="M735" s="34">
        <f t="shared" ref="M735" si="1257">SUM(M733:M734)</f>
        <v>1.6875000000000001E-4</v>
      </c>
      <c r="N735" s="34">
        <f t="shared" ref="N735" si="1258">SUM(N733:N734)</f>
        <v>1.6875000000000001E-4</v>
      </c>
      <c r="O735" s="34">
        <f t="shared" ref="O735" si="1259">SUM(O733:O734)</f>
        <v>1.6875000000000001E-4</v>
      </c>
      <c r="P735" s="34">
        <f t="shared" ref="P735" si="1260">SUM(P733:P734)</f>
        <v>1.6875000000000001E-4</v>
      </c>
      <c r="Q735" s="34">
        <f t="shared" ref="Q735" si="1261">SUM(Q733:Q734)</f>
        <v>1.6875000000000001E-4</v>
      </c>
      <c r="R735" s="34">
        <f t="shared" ref="R735" si="1262">SUM(R733:R734)</f>
        <v>1.6875000000000001E-4</v>
      </c>
      <c r="S735" s="34">
        <f t="shared" ref="S735" si="1263">SUM(S733:S734)</f>
        <v>1.6875000000000001E-4</v>
      </c>
      <c r="T735" s="34">
        <f t="shared" ref="T735" si="1264">SUM(T733:T734)</f>
        <v>1.6875000000000001E-4</v>
      </c>
      <c r="U735" s="34">
        <f t="shared" ref="U735" si="1265">SUM(U733:U734)</f>
        <v>1.6875000000000001E-4</v>
      </c>
      <c r="V735" s="180">
        <f t="shared" si="1245"/>
        <v>3.3750000000000008E-3</v>
      </c>
      <c r="W735" s="53">
        <f t="shared" si="1246"/>
        <v>1.6875000000000004E-4</v>
      </c>
      <c r="Y735" s="28"/>
    </row>
    <row r="736" spans="1:25" ht="13.5" customHeight="1">
      <c r="A736" s="134" t="s">
        <v>123</v>
      </c>
      <c r="B736" s="52">
        <v>0.96618357487922713</v>
      </c>
      <c r="C736" s="52">
        <v>0.93351070036640305</v>
      </c>
      <c r="D736" s="52">
        <v>0.90194270566802237</v>
      </c>
      <c r="E736" s="52">
        <v>0.87144222769857238</v>
      </c>
      <c r="F736" s="52">
        <v>0.84197316685852419</v>
      </c>
      <c r="G736" s="52">
        <v>0.81350064430775282</v>
      </c>
      <c r="H736" s="52">
        <v>0.78599096068381913</v>
      </c>
      <c r="I736" s="52">
        <v>0.75941155621625056</v>
      </c>
      <c r="J736" s="52">
        <v>0.73373097218961414</v>
      </c>
      <c r="K736" s="52">
        <v>0.70891881370977217</v>
      </c>
      <c r="L736" s="52">
        <v>0.68494571372924851</v>
      </c>
      <c r="M736" s="52">
        <v>0.66178329828912896</v>
      </c>
      <c r="N736" s="52">
        <v>0.63940415293635666</v>
      </c>
      <c r="O736" s="52">
        <v>0.61778179027667302</v>
      </c>
      <c r="P736" s="52">
        <v>0.59689061862480497</v>
      </c>
      <c r="Q736" s="52">
        <v>0.57670591171478747</v>
      </c>
      <c r="R736" s="52">
        <v>0.55720377943457733</v>
      </c>
      <c r="S736" s="52">
        <v>0.53836113955031628</v>
      </c>
      <c r="T736" s="52">
        <v>0.52015569038677911</v>
      </c>
      <c r="U736" s="52">
        <v>0.50256588443167061</v>
      </c>
      <c r="V736" s="180"/>
      <c r="W736" s="133"/>
      <c r="Y736" s="28"/>
    </row>
    <row r="737" spans="1:25" s="81" customFormat="1">
      <c r="A737" s="50" t="s">
        <v>1069</v>
      </c>
      <c r="B737" s="34">
        <f t="shared" ref="B737:U737" si="1266">B736*B735</f>
        <v>1.6304347826086958E-4</v>
      </c>
      <c r="C737" s="34">
        <f t="shared" si="1266"/>
        <v>1.5752993068683053E-4</v>
      </c>
      <c r="D737" s="34">
        <f t="shared" si="1266"/>
        <v>1.5220283158147877E-4</v>
      </c>
      <c r="E737" s="34">
        <f t="shared" si="1266"/>
        <v>1.4705587592413411E-4</v>
      </c>
      <c r="F737" s="34">
        <f t="shared" si="1266"/>
        <v>1.4208297190737598E-4</v>
      </c>
      <c r="G737" s="34">
        <f t="shared" si="1266"/>
        <v>1.372782337269333E-4</v>
      </c>
      <c r="H737" s="34">
        <f t="shared" si="1266"/>
        <v>1.3263597461539447E-4</v>
      </c>
      <c r="I737" s="34">
        <f t="shared" si="1266"/>
        <v>1.281507001114923E-4</v>
      </c>
      <c r="J737" s="34">
        <f t="shared" si="1266"/>
        <v>1.238171015569974E-4</v>
      </c>
      <c r="K737" s="34">
        <f t="shared" si="1266"/>
        <v>1.1963004981352407E-4</v>
      </c>
      <c r="L737" s="34">
        <f t="shared" si="1266"/>
        <v>1.1558458919181069E-4</v>
      </c>
      <c r="M737" s="34">
        <f t="shared" si="1266"/>
        <v>1.1167593158629052E-4</v>
      </c>
      <c r="N737" s="34">
        <f t="shared" si="1266"/>
        <v>1.0789945080801019E-4</v>
      </c>
      <c r="O737" s="34">
        <f t="shared" si="1266"/>
        <v>1.0425067710918858E-4</v>
      </c>
      <c r="P737" s="34">
        <f t="shared" si="1266"/>
        <v>1.0072529189293584E-4</v>
      </c>
      <c r="Q737" s="34">
        <f t="shared" si="1266"/>
        <v>9.7319122601870396E-5</v>
      </c>
      <c r="R737" s="34">
        <f t="shared" si="1266"/>
        <v>9.402813777958493E-5</v>
      </c>
      <c r="S737" s="34">
        <f t="shared" si="1266"/>
        <v>9.0848442299115879E-5</v>
      </c>
      <c r="T737" s="34">
        <f t="shared" si="1266"/>
        <v>8.7776272752768973E-5</v>
      </c>
      <c r="U737" s="34">
        <f t="shared" si="1266"/>
        <v>8.4807992997844422E-5</v>
      </c>
      <c r="V737" s="182">
        <f>SUM(B737:U737)</f>
        <v>2.3983430572044511E-3</v>
      </c>
      <c r="W737" s="35"/>
      <c r="Y737" s="28"/>
    </row>
    <row r="738" spans="1:25" s="81" customFormat="1">
      <c r="A738" s="49"/>
      <c r="B738" s="34"/>
      <c r="C738" s="34"/>
      <c r="D738" s="34"/>
      <c r="E738" s="34"/>
      <c r="F738" s="34"/>
      <c r="G738" s="34"/>
      <c r="H738" s="34"/>
      <c r="I738" s="34"/>
      <c r="J738" s="34"/>
      <c r="K738" s="34"/>
      <c r="L738" s="34"/>
      <c r="M738" s="34"/>
      <c r="N738" s="34"/>
      <c r="O738" s="34"/>
      <c r="P738" s="34"/>
      <c r="Q738" s="34"/>
      <c r="R738" s="34"/>
      <c r="S738" s="34"/>
      <c r="T738" s="34"/>
      <c r="U738" s="34"/>
      <c r="V738" s="182"/>
      <c r="W738" s="35"/>
      <c r="Y738" s="86"/>
    </row>
    <row r="739" spans="1:25">
      <c r="A739" s="49"/>
      <c r="B739" s="34"/>
      <c r="C739" s="34"/>
      <c r="D739" s="34"/>
      <c r="E739" s="34"/>
      <c r="F739" s="34"/>
      <c r="G739" s="34"/>
      <c r="H739" s="34"/>
      <c r="I739" s="34"/>
      <c r="J739" s="34"/>
      <c r="K739" s="34"/>
      <c r="L739" s="34"/>
      <c r="M739" s="34"/>
      <c r="N739" s="34"/>
      <c r="O739" s="34"/>
      <c r="P739" s="34"/>
      <c r="Q739" s="34"/>
      <c r="R739" s="34"/>
      <c r="S739" s="34"/>
      <c r="T739" s="34"/>
      <c r="U739" s="34"/>
      <c r="V739" s="182"/>
      <c r="W739" s="35"/>
      <c r="Y739" s="86"/>
    </row>
    <row r="740" spans="1:25">
      <c r="A740" s="131" t="s">
        <v>1303</v>
      </c>
      <c r="B740" s="100"/>
      <c r="C740" s="100"/>
      <c r="D740" s="100"/>
      <c r="E740" s="100"/>
      <c r="F740" s="100"/>
      <c r="G740" s="100"/>
      <c r="H740" s="100"/>
      <c r="I740" s="100"/>
      <c r="J740" s="100"/>
      <c r="K740" s="100"/>
      <c r="L740" s="100"/>
      <c r="M740" s="100"/>
      <c r="N740" s="100"/>
      <c r="O740" s="100"/>
      <c r="P740" s="100"/>
      <c r="Q740" s="100"/>
      <c r="R740" s="100"/>
      <c r="S740" s="100"/>
      <c r="T740" s="100"/>
      <c r="U740" s="100"/>
      <c r="V740" s="179"/>
      <c r="W740" s="140"/>
      <c r="Y740" s="86"/>
    </row>
    <row r="741" spans="1:25">
      <c r="A741" s="200" t="s">
        <v>679</v>
      </c>
      <c r="B741" s="52">
        <v>0</v>
      </c>
      <c r="C741" s="52">
        <v>0</v>
      </c>
      <c r="D741" s="52">
        <v>0</v>
      </c>
      <c r="E741" s="52">
        <v>0</v>
      </c>
      <c r="F741" s="52">
        <v>0</v>
      </c>
      <c r="G741" s="52">
        <v>0</v>
      </c>
      <c r="H741" s="52">
        <v>0</v>
      </c>
      <c r="I741" s="52">
        <v>0</v>
      </c>
      <c r="J741" s="52">
        <v>0</v>
      </c>
      <c r="K741" s="52">
        <v>0</v>
      </c>
      <c r="L741" s="52">
        <v>0</v>
      </c>
      <c r="M741" s="52">
        <v>0</v>
      </c>
      <c r="N741" s="52">
        <v>0</v>
      </c>
      <c r="O741" s="52">
        <v>0</v>
      </c>
      <c r="P741" s="52">
        <v>0</v>
      </c>
      <c r="Q741" s="52">
        <v>0</v>
      </c>
      <c r="R741" s="52">
        <v>0</v>
      </c>
      <c r="S741" s="52">
        <v>0</v>
      </c>
      <c r="T741" s="52">
        <v>0</v>
      </c>
      <c r="U741" s="52">
        <v>0</v>
      </c>
      <c r="V741" s="180">
        <f>SUM(B741:U741)</f>
        <v>0</v>
      </c>
      <c r="W741" s="53">
        <f>V741/20</f>
        <v>0</v>
      </c>
    </row>
    <row r="742" spans="1:25" s="3" customFormat="1">
      <c r="A742" s="200" t="s">
        <v>680</v>
      </c>
      <c r="B742" s="52">
        <f>('Scenario 2 Assumptions'!$B$279*('Scenario 2 Assumptions'!$B$321*0.5)/20)+B150</f>
        <v>5.0625000000000002E-3</v>
      </c>
      <c r="C742" s="52">
        <f>('Scenario 2 Assumptions'!$B$279*('Scenario 2 Assumptions'!$B$321*0.5)/20)+C150</f>
        <v>5.0625000000000002E-3</v>
      </c>
      <c r="D742" s="52">
        <f>('Scenario 2 Assumptions'!$B$279*('Scenario 2 Assumptions'!$B$321*0.5)/20)+D150</f>
        <v>5.0625000000000002E-3</v>
      </c>
      <c r="E742" s="52">
        <f>('Scenario 2 Assumptions'!$B$279*('Scenario 2 Assumptions'!$B$321*0.5)/20)+E150</f>
        <v>5.0625000000000002E-3</v>
      </c>
      <c r="F742" s="52">
        <f>('Scenario 2 Assumptions'!$B$279*('Scenario 2 Assumptions'!$B$321*0.5)/20)+F150</f>
        <v>5.0625000000000002E-3</v>
      </c>
      <c r="G742" s="52">
        <f>('Scenario 2 Assumptions'!$B$279*('Scenario 2 Assumptions'!$B$321*0.5)/20)+G150</f>
        <v>5.0625000000000002E-3</v>
      </c>
      <c r="H742" s="52">
        <f>('Scenario 2 Assumptions'!$B$279*('Scenario 2 Assumptions'!$B$321*0.5)/20)+H150</f>
        <v>5.0625000000000002E-3</v>
      </c>
      <c r="I742" s="52">
        <f>('Scenario 2 Assumptions'!$B$279*('Scenario 2 Assumptions'!$B$321*0.5)/20)+I150</f>
        <v>5.0625000000000002E-3</v>
      </c>
      <c r="J742" s="52">
        <f>('Scenario 2 Assumptions'!$B$279*('Scenario 2 Assumptions'!$B$321*0.5)/20)+J150</f>
        <v>5.0625000000000002E-3</v>
      </c>
      <c r="K742" s="52">
        <f>('Scenario 2 Assumptions'!$B$279*('Scenario 2 Assumptions'!$B$321*0.5)/20)+K150</f>
        <v>5.0625000000000002E-3</v>
      </c>
      <c r="L742" s="52">
        <f>('Scenario 2 Assumptions'!$B$279*('Scenario 2 Assumptions'!$B$321*0.5)/20)+L150</f>
        <v>5.0625000000000002E-3</v>
      </c>
      <c r="M742" s="52">
        <f>('Scenario 2 Assumptions'!$B$279*('Scenario 2 Assumptions'!$B$321*0.5)/20)+M150</f>
        <v>5.0625000000000002E-3</v>
      </c>
      <c r="N742" s="52">
        <f>('Scenario 2 Assumptions'!$B$279*('Scenario 2 Assumptions'!$B$321*0.5)/20)+N150</f>
        <v>5.0625000000000002E-3</v>
      </c>
      <c r="O742" s="52">
        <f>('Scenario 2 Assumptions'!$B$279*('Scenario 2 Assumptions'!$B$321*0.5)/20)+O150</f>
        <v>5.0625000000000002E-3</v>
      </c>
      <c r="P742" s="52">
        <f>('Scenario 2 Assumptions'!$B$279*('Scenario 2 Assumptions'!$B$321*0.5)/20)+P150</f>
        <v>5.0625000000000002E-3</v>
      </c>
      <c r="Q742" s="52">
        <f>('Scenario 2 Assumptions'!$B$279*('Scenario 2 Assumptions'!$B$321*0.5)/20)+Q150</f>
        <v>5.0625000000000002E-3</v>
      </c>
      <c r="R742" s="52">
        <f>('Scenario 2 Assumptions'!$B$279*('Scenario 2 Assumptions'!$B$321*0.5)/20)+R150</f>
        <v>5.0625000000000002E-3</v>
      </c>
      <c r="S742" s="52">
        <f>('Scenario 2 Assumptions'!$B$279*('Scenario 2 Assumptions'!$B$321*0.5)/20)+S150</f>
        <v>5.0625000000000002E-3</v>
      </c>
      <c r="T742" s="52">
        <f>('Scenario 2 Assumptions'!$B$279*('Scenario 2 Assumptions'!$B$321*0.5)/20)+T150</f>
        <v>5.0625000000000002E-3</v>
      </c>
      <c r="U742" s="52">
        <f>('Scenario 2 Assumptions'!$B$279*('Scenario 2 Assumptions'!$B$321*0.5)/20)+U150</f>
        <v>5.0625000000000002E-3</v>
      </c>
      <c r="V742" s="180">
        <f t="shared" ref="V742:V743" si="1267">SUM(B742:U742)</f>
        <v>0.10124999999999998</v>
      </c>
      <c r="W742" s="53">
        <f t="shared" ref="W742:W743" si="1268">V742/20</f>
        <v>5.0624999999999993E-3</v>
      </c>
    </row>
    <row r="743" spans="1:25" ht="13.5" customHeight="1">
      <c r="A743" s="49" t="s">
        <v>664</v>
      </c>
      <c r="B743" s="34">
        <f>SUM(B741:B742)</f>
        <v>5.0625000000000002E-3</v>
      </c>
      <c r="C743" s="34">
        <f t="shared" ref="C743" si="1269">SUM(C741:C742)</f>
        <v>5.0625000000000002E-3</v>
      </c>
      <c r="D743" s="34">
        <f t="shared" ref="D743" si="1270">SUM(D741:D742)</f>
        <v>5.0625000000000002E-3</v>
      </c>
      <c r="E743" s="34">
        <f t="shared" ref="E743" si="1271">SUM(E741:E742)</f>
        <v>5.0625000000000002E-3</v>
      </c>
      <c r="F743" s="34">
        <f t="shared" ref="F743" si="1272">SUM(F741:F742)</f>
        <v>5.0625000000000002E-3</v>
      </c>
      <c r="G743" s="34">
        <f t="shared" ref="G743" si="1273">SUM(G741:G742)</f>
        <v>5.0625000000000002E-3</v>
      </c>
      <c r="H743" s="34">
        <f t="shared" ref="H743" si="1274">SUM(H741:H742)</f>
        <v>5.0625000000000002E-3</v>
      </c>
      <c r="I743" s="34">
        <f t="shared" ref="I743" si="1275">SUM(I741:I742)</f>
        <v>5.0625000000000002E-3</v>
      </c>
      <c r="J743" s="34">
        <f t="shared" ref="J743" si="1276">SUM(J741:J742)</f>
        <v>5.0625000000000002E-3</v>
      </c>
      <c r="K743" s="34">
        <f t="shared" ref="K743" si="1277">SUM(K741:K742)</f>
        <v>5.0625000000000002E-3</v>
      </c>
      <c r="L743" s="34">
        <f t="shared" ref="L743" si="1278">SUM(L741:L742)</f>
        <v>5.0625000000000002E-3</v>
      </c>
      <c r="M743" s="34">
        <f t="shared" ref="M743" si="1279">SUM(M741:M742)</f>
        <v>5.0625000000000002E-3</v>
      </c>
      <c r="N743" s="34">
        <f t="shared" ref="N743" si="1280">SUM(N741:N742)</f>
        <v>5.0625000000000002E-3</v>
      </c>
      <c r="O743" s="34">
        <f t="shared" ref="O743" si="1281">SUM(O741:O742)</f>
        <v>5.0625000000000002E-3</v>
      </c>
      <c r="P743" s="34">
        <f t="shared" ref="P743" si="1282">SUM(P741:P742)</f>
        <v>5.0625000000000002E-3</v>
      </c>
      <c r="Q743" s="34">
        <f t="shared" ref="Q743" si="1283">SUM(Q741:Q742)</f>
        <v>5.0625000000000002E-3</v>
      </c>
      <c r="R743" s="34">
        <f t="shared" ref="R743" si="1284">SUM(R741:R742)</f>
        <v>5.0625000000000002E-3</v>
      </c>
      <c r="S743" s="34">
        <f t="shared" ref="S743" si="1285">SUM(S741:S742)</f>
        <v>5.0625000000000002E-3</v>
      </c>
      <c r="T743" s="34">
        <f t="shared" ref="T743" si="1286">SUM(T741:T742)</f>
        <v>5.0625000000000002E-3</v>
      </c>
      <c r="U743" s="34">
        <f t="shared" ref="U743" si="1287">SUM(U741:U742)</f>
        <v>5.0625000000000002E-3</v>
      </c>
      <c r="V743" s="180">
        <f t="shared" si="1267"/>
        <v>0.10124999999999998</v>
      </c>
      <c r="W743" s="53">
        <f t="shared" si="1268"/>
        <v>5.0624999999999993E-3</v>
      </c>
    </row>
    <row r="744" spans="1:25" s="81" customFormat="1">
      <c r="A744" s="134" t="s">
        <v>123</v>
      </c>
      <c r="B744" s="52">
        <v>0.96618357487922713</v>
      </c>
      <c r="C744" s="52">
        <v>0.93351070036640305</v>
      </c>
      <c r="D744" s="52">
        <v>0.90194270566802237</v>
      </c>
      <c r="E744" s="52">
        <v>0.87144222769857238</v>
      </c>
      <c r="F744" s="52">
        <v>0.84197316685852419</v>
      </c>
      <c r="G744" s="52">
        <v>0.81350064430775282</v>
      </c>
      <c r="H744" s="52">
        <v>0.78599096068381913</v>
      </c>
      <c r="I744" s="52">
        <v>0.75941155621625056</v>
      </c>
      <c r="J744" s="52">
        <v>0.73373097218961414</v>
      </c>
      <c r="K744" s="52">
        <v>0.70891881370977217</v>
      </c>
      <c r="L744" s="52">
        <v>0.68494571372924851</v>
      </c>
      <c r="M744" s="52">
        <v>0.66178329828912896</v>
      </c>
      <c r="N744" s="52">
        <v>0.63940415293635666</v>
      </c>
      <c r="O744" s="52">
        <v>0.61778179027667302</v>
      </c>
      <c r="P744" s="52">
        <v>0.59689061862480497</v>
      </c>
      <c r="Q744" s="52">
        <v>0.57670591171478747</v>
      </c>
      <c r="R744" s="52">
        <v>0.55720377943457733</v>
      </c>
      <c r="S744" s="52">
        <v>0.53836113955031628</v>
      </c>
      <c r="T744" s="52">
        <v>0.52015569038677911</v>
      </c>
      <c r="U744" s="52">
        <v>0.50256588443167061</v>
      </c>
      <c r="V744" s="180"/>
      <c r="W744" s="133"/>
    </row>
    <row r="745" spans="1:25" s="81" customFormat="1">
      <c r="A745" s="50" t="s">
        <v>1069</v>
      </c>
      <c r="B745" s="34">
        <f t="shared" ref="B745:U745" si="1288">B744*B743</f>
        <v>4.8913043478260873E-3</v>
      </c>
      <c r="C745" s="34">
        <f t="shared" si="1288"/>
        <v>4.7258979206049158E-3</v>
      </c>
      <c r="D745" s="34">
        <f t="shared" si="1288"/>
        <v>4.5660849474443632E-3</v>
      </c>
      <c r="E745" s="34">
        <f t="shared" si="1288"/>
        <v>4.4116762777240224E-3</v>
      </c>
      <c r="F745" s="34">
        <f t="shared" si="1288"/>
        <v>4.2624891572212789E-3</v>
      </c>
      <c r="G745" s="34">
        <f t="shared" si="1288"/>
        <v>4.1183470118079987E-3</v>
      </c>
      <c r="H745" s="34">
        <f t="shared" si="1288"/>
        <v>3.9790792384618344E-3</v>
      </c>
      <c r="I745" s="34">
        <f t="shared" si="1288"/>
        <v>3.8445210033447685E-3</v>
      </c>
      <c r="J745" s="34">
        <f t="shared" si="1288"/>
        <v>3.7145130467099215E-3</v>
      </c>
      <c r="K745" s="34">
        <f t="shared" si="1288"/>
        <v>3.5889014944057219E-3</v>
      </c>
      <c r="L745" s="34">
        <f t="shared" si="1288"/>
        <v>3.4675376757543207E-3</v>
      </c>
      <c r="M745" s="34">
        <f t="shared" si="1288"/>
        <v>3.3502779475887154E-3</v>
      </c>
      <c r="N745" s="34">
        <f t="shared" si="1288"/>
        <v>3.2369835242403058E-3</v>
      </c>
      <c r="O745" s="34">
        <f t="shared" si="1288"/>
        <v>3.1275203132756571E-3</v>
      </c>
      <c r="P745" s="34">
        <f t="shared" si="1288"/>
        <v>3.0217587567880752E-3</v>
      </c>
      <c r="Q745" s="34">
        <f t="shared" si="1288"/>
        <v>2.9195736780561117E-3</v>
      </c>
      <c r="R745" s="34">
        <f t="shared" si="1288"/>
        <v>2.8208441333875478E-3</v>
      </c>
      <c r="S745" s="34">
        <f t="shared" si="1288"/>
        <v>2.7254532689734764E-3</v>
      </c>
      <c r="T745" s="34">
        <f t="shared" si="1288"/>
        <v>2.6332881825830694E-3</v>
      </c>
      <c r="U745" s="34">
        <f t="shared" si="1288"/>
        <v>2.5442397899353326E-3</v>
      </c>
      <c r="V745" s="182">
        <f>SUM(B745:U745)</f>
        <v>7.1950291716133527E-2</v>
      </c>
      <c r="W745" s="35"/>
    </row>
    <row r="746" spans="1:25">
      <c r="A746" s="49"/>
      <c r="B746" s="34"/>
      <c r="C746" s="34"/>
      <c r="D746" s="34"/>
      <c r="E746" s="34"/>
      <c r="F746" s="34"/>
      <c r="G746" s="34"/>
      <c r="H746" s="34"/>
      <c r="I746" s="34"/>
      <c r="J746" s="34"/>
      <c r="K746" s="34"/>
      <c r="L746" s="34"/>
      <c r="M746" s="34"/>
      <c r="N746" s="34"/>
      <c r="O746" s="34"/>
      <c r="P746" s="34"/>
      <c r="Q746" s="34"/>
      <c r="R746" s="34"/>
      <c r="S746" s="34"/>
      <c r="T746" s="34"/>
      <c r="U746" s="34"/>
      <c r="V746" s="182"/>
      <c r="W746" s="35"/>
    </row>
    <row r="747" spans="1:25">
      <c r="A747" s="131" t="s">
        <v>1089</v>
      </c>
      <c r="B747" s="100"/>
      <c r="C747" s="100"/>
      <c r="D747" s="100"/>
      <c r="E747" s="100"/>
      <c r="F747" s="100"/>
      <c r="G747" s="100"/>
      <c r="H747" s="100"/>
      <c r="I747" s="100"/>
      <c r="J747" s="100"/>
      <c r="K747" s="100"/>
      <c r="L747" s="100"/>
      <c r="M747" s="100"/>
      <c r="N747" s="100"/>
      <c r="O747" s="100"/>
      <c r="P747" s="100"/>
      <c r="Q747" s="100"/>
      <c r="R747" s="100"/>
      <c r="S747" s="100"/>
      <c r="T747" s="100"/>
      <c r="U747" s="100"/>
      <c r="V747" s="179"/>
      <c r="W747" s="140"/>
    </row>
    <row r="748" spans="1:25">
      <c r="A748" s="200" t="s">
        <v>679</v>
      </c>
      <c r="B748" s="52">
        <v>0</v>
      </c>
      <c r="C748" s="52">
        <v>0</v>
      </c>
      <c r="D748" s="52">
        <v>0</v>
      </c>
      <c r="E748" s="52">
        <v>0</v>
      </c>
      <c r="F748" s="52">
        <v>0</v>
      </c>
      <c r="G748" s="52">
        <v>0</v>
      </c>
      <c r="H748" s="52">
        <v>0</v>
      </c>
      <c r="I748" s="52">
        <v>0</v>
      </c>
      <c r="J748" s="52">
        <v>0</v>
      </c>
      <c r="K748" s="52">
        <v>0</v>
      </c>
      <c r="L748" s="52">
        <v>0</v>
      </c>
      <c r="M748" s="52">
        <v>0</v>
      </c>
      <c r="N748" s="52">
        <v>0</v>
      </c>
      <c r="O748" s="52">
        <v>0</v>
      </c>
      <c r="P748" s="52">
        <v>0</v>
      </c>
      <c r="Q748" s="52">
        <v>0</v>
      </c>
      <c r="R748" s="52">
        <v>0</v>
      </c>
      <c r="S748" s="52">
        <v>0</v>
      </c>
      <c r="T748" s="52">
        <v>0</v>
      </c>
      <c r="U748" s="52">
        <v>0</v>
      </c>
      <c r="V748" s="180">
        <f>SUM(B748:U748)</f>
        <v>0</v>
      </c>
      <c r="W748" s="53">
        <f>V748/20</f>
        <v>0</v>
      </c>
    </row>
    <row r="749" spans="1:25" s="3" customFormat="1">
      <c r="A749" s="200" t="s">
        <v>680</v>
      </c>
      <c r="B749" s="52">
        <f>('Scenario 2 Assumptions'!$B$279*('Scenario 2 Assumptions'!$B$322*0.5)/20)+B151</f>
        <v>9.7874999999999993E-3</v>
      </c>
      <c r="C749" s="52">
        <f>('Scenario 2 Assumptions'!$B$279*('Scenario 2 Assumptions'!$B$322*0.5)/20)+C151</f>
        <v>9.7874999999999993E-3</v>
      </c>
      <c r="D749" s="52">
        <f>('Scenario 2 Assumptions'!$B$279*('Scenario 2 Assumptions'!$B$322*0.5)/20)+D151</f>
        <v>9.7874999999999993E-3</v>
      </c>
      <c r="E749" s="52">
        <f>('Scenario 2 Assumptions'!$B$279*('Scenario 2 Assumptions'!$B$322*0.5)/20)+E151</f>
        <v>9.7874999999999993E-3</v>
      </c>
      <c r="F749" s="52">
        <f>('Scenario 2 Assumptions'!$B$279*('Scenario 2 Assumptions'!$B$322*0.5)/20)+F151</f>
        <v>9.7874999999999993E-3</v>
      </c>
      <c r="G749" s="52">
        <f>('Scenario 2 Assumptions'!$B$279*('Scenario 2 Assumptions'!$B$322*0.5)/20)+G151</f>
        <v>9.7874999999999993E-3</v>
      </c>
      <c r="H749" s="52">
        <f>('Scenario 2 Assumptions'!$B$279*('Scenario 2 Assumptions'!$B$322*0.5)/20)+H151</f>
        <v>9.7874999999999993E-3</v>
      </c>
      <c r="I749" s="52">
        <f>('Scenario 2 Assumptions'!$B$279*('Scenario 2 Assumptions'!$B$322*0.5)/20)+I151</f>
        <v>9.7874999999999993E-3</v>
      </c>
      <c r="J749" s="52">
        <f>('Scenario 2 Assumptions'!$B$279*('Scenario 2 Assumptions'!$B$322*0.5)/20)+J151</f>
        <v>9.7874999999999993E-3</v>
      </c>
      <c r="K749" s="52">
        <f>('Scenario 2 Assumptions'!$B$279*('Scenario 2 Assumptions'!$B$322*0.5)/20)+K151</f>
        <v>9.7874999999999993E-3</v>
      </c>
      <c r="L749" s="52">
        <f>('Scenario 2 Assumptions'!$B$279*('Scenario 2 Assumptions'!$B$322*0.5)/20)+L151</f>
        <v>9.7874999999999993E-3</v>
      </c>
      <c r="M749" s="52">
        <f>('Scenario 2 Assumptions'!$B$279*('Scenario 2 Assumptions'!$B$322*0.5)/20)+M151</f>
        <v>9.7874999999999993E-3</v>
      </c>
      <c r="N749" s="52">
        <f>('Scenario 2 Assumptions'!$B$279*('Scenario 2 Assumptions'!$B$322*0.5)/20)+N151</f>
        <v>9.7874999999999993E-3</v>
      </c>
      <c r="O749" s="52">
        <f>('Scenario 2 Assumptions'!$B$279*('Scenario 2 Assumptions'!$B$322*0.5)/20)+O151</f>
        <v>9.7874999999999993E-3</v>
      </c>
      <c r="P749" s="52">
        <f>('Scenario 2 Assumptions'!$B$279*('Scenario 2 Assumptions'!$B$322*0.5)/20)+P151</f>
        <v>9.7874999999999993E-3</v>
      </c>
      <c r="Q749" s="52">
        <f>('Scenario 2 Assumptions'!$B$279*('Scenario 2 Assumptions'!$B$322*0.5)/20)+Q151</f>
        <v>9.7874999999999993E-3</v>
      </c>
      <c r="R749" s="52">
        <f>('Scenario 2 Assumptions'!$B$279*('Scenario 2 Assumptions'!$B$322*0.5)/20)+R151</f>
        <v>9.7874999999999993E-3</v>
      </c>
      <c r="S749" s="52">
        <f>('Scenario 2 Assumptions'!$B$279*('Scenario 2 Assumptions'!$B$322*0.5)/20)+S151</f>
        <v>9.7874999999999993E-3</v>
      </c>
      <c r="T749" s="52">
        <f>('Scenario 2 Assumptions'!$B$279*('Scenario 2 Assumptions'!$B$322*0.5)/20)+T151</f>
        <v>9.7874999999999993E-3</v>
      </c>
      <c r="U749" s="52">
        <f>('Scenario 2 Assumptions'!$B$279*('Scenario 2 Assumptions'!$B$322*0.5)/20)+U151</f>
        <v>9.7874999999999993E-3</v>
      </c>
      <c r="V749" s="180">
        <f t="shared" ref="V749:V750" si="1289">SUM(B749:U749)</f>
        <v>0.19575000000000004</v>
      </c>
      <c r="W749" s="53">
        <f t="shared" ref="W749:W750" si="1290">V749/20</f>
        <v>9.7875000000000011E-3</v>
      </c>
    </row>
    <row r="750" spans="1:25" ht="13.5" customHeight="1">
      <c r="A750" s="49" t="s">
        <v>664</v>
      </c>
      <c r="B750" s="34">
        <f>SUM(B748:B749)</f>
        <v>9.7874999999999993E-3</v>
      </c>
      <c r="C750" s="34">
        <f t="shared" ref="C750" si="1291">SUM(C748:C749)</f>
        <v>9.7874999999999993E-3</v>
      </c>
      <c r="D750" s="34">
        <f t="shared" ref="D750" si="1292">SUM(D748:D749)</f>
        <v>9.7874999999999993E-3</v>
      </c>
      <c r="E750" s="34">
        <f t="shared" ref="E750" si="1293">SUM(E748:E749)</f>
        <v>9.7874999999999993E-3</v>
      </c>
      <c r="F750" s="34">
        <f t="shared" ref="F750" si="1294">SUM(F748:F749)</f>
        <v>9.7874999999999993E-3</v>
      </c>
      <c r="G750" s="34">
        <f t="shared" ref="G750" si="1295">SUM(G748:G749)</f>
        <v>9.7874999999999993E-3</v>
      </c>
      <c r="H750" s="34">
        <f t="shared" ref="H750" si="1296">SUM(H748:H749)</f>
        <v>9.7874999999999993E-3</v>
      </c>
      <c r="I750" s="34">
        <f t="shared" ref="I750" si="1297">SUM(I748:I749)</f>
        <v>9.7874999999999993E-3</v>
      </c>
      <c r="J750" s="34">
        <f t="shared" ref="J750" si="1298">SUM(J748:J749)</f>
        <v>9.7874999999999993E-3</v>
      </c>
      <c r="K750" s="34">
        <f t="shared" ref="K750" si="1299">SUM(K748:K749)</f>
        <v>9.7874999999999993E-3</v>
      </c>
      <c r="L750" s="34">
        <f t="shared" ref="L750" si="1300">SUM(L748:L749)</f>
        <v>9.7874999999999993E-3</v>
      </c>
      <c r="M750" s="34">
        <f t="shared" ref="M750" si="1301">SUM(M748:M749)</f>
        <v>9.7874999999999993E-3</v>
      </c>
      <c r="N750" s="34">
        <f t="shared" ref="N750" si="1302">SUM(N748:N749)</f>
        <v>9.7874999999999993E-3</v>
      </c>
      <c r="O750" s="34">
        <f t="shared" ref="O750" si="1303">SUM(O748:O749)</f>
        <v>9.7874999999999993E-3</v>
      </c>
      <c r="P750" s="34">
        <f t="shared" ref="P750" si="1304">SUM(P748:P749)</f>
        <v>9.7874999999999993E-3</v>
      </c>
      <c r="Q750" s="34">
        <f t="shared" ref="Q750" si="1305">SUM(Q748:Q749)</f>
        <v>9.7874999999999993E-3</v>
      </c>
      <c r="R750" s="34">
        <f t="shared" ref="R750" si="1306">SUM(R748:R749)</f>
        <v>9.7874999999999993E-3</v>
      </c>
      <c r="S750" s="34">
        <f t="shared" ref="S750" si="1307">SUM(S748:S749)</f>
        <v>9.7874999999999993E-3</v>
      </c>
      <c r="T750" s="34">
        <f t="shared" ref="T750" si="1308">SUM(T748:T749)</f>
        <v>9.7874999999999993E-3</v>
      </c>
      <c r="U750" s="34">
        <f t="shared" ref="U750" si="1309">SUM(U748:U749)</f>
        <v>9.7874999999999993E-3</v>
      </c>
      <c r="V750" s="180">
        <f t="shared" si="1289"/>
        <v>0.19575000000000004</v>
      </c>
      <c r="W750" s="53">
        <f t="shared" si="1290"/>
        <v>9.7875000000000011E-3</v>
      </c>
    </row>
    <row r="751" spans="1:25" s="81" customFormat="1">
      <c r="A751" s="134" t="s">
        <v>123</v>
      </c>
      <c r="B751" s="52">
        <v>0.96618357487922713</v>
      </c>
      <c r="C751" s="52">
        <v>0.93351070036640305</v>
      </c>
      <c r="D751" s="52">
        <v>0.90194270566802237</v>
      </c>
      <c r="E751" s="52">
        <v>0.87144222769857238</v>
      </c>
      <c r="F751" s="52">
        <v>0.84197316685852419</v>
      </c>
      <c r="G751" s="52">
        <v>0.81350064430775282</v>
      </c>
      <c r="H751" s="52">
        <v>0.78599096068381913</v>
      </c>
      <c r="I751" s="52">
        <v>0.75941155621625056</v>
      </c>
      <c r="J751" s="52">
        <v>0.73373097218961414</v>
      </c>
      <c r="K751" s="52">
        <v>0.70891881370977217</v>
      </c>
      <c r="L751" s="52">
        <v>0.68494571372924851</v>
      </c>
      <c r="M751" s="52">
        <v>0.66178329828912896</v>
      </c>
      <c r="N751" s="52">
        <v>0.63940415293635666</v>
      </c>
      <c r="O751" s="52">
        <v>0.61778179027667302</v>
      </c>
      <c r="P751" s="52">
        <v>0.59689061862480497</v>
      </c>
      <c r="Q751" s="52">
        <v>0.57670591171478747</v>
      </c>
      <c r="R751" s="52">
        <v>0.55720377943457733</v>
      </c>
      <c r="S751" s="52">
        <v>0.53836113955031628</v>
      </c>
      <c r="T751" s="52">
        <v>0.52015569038677911</v>
      </c>
      <c r="U751" s="52">
        <v>0.50256588443167061</v>
      </c>
      <c r="V751" s="180"/>
      <c r="W751" s="133"/>
    </row>
    <row r="752" spans="1:25" s="81" customFormat="1">
      <c r="A752" s="50" t="s">
        <v>1069</v>
      </c>
      <c r="B752" s="34">
        <f t="shared" ref="B752:U752" si="1310">B751*B750</f>
        <v>9.4565217391304347E-3</v>
      </c>
      <c r="C752" s="34">
        <f t="shared" si="1310"/>
        <v>9.1367359798361688E-3</v>
      </c>
      <c r="D752" s="34">
        <f t="shared" si="1310"/>
        <v>8.8277642317257689E-3</v>
      </c>
      <c r="E752" s="34">
        <f t="shared" si="1310"/>
        <v>8.5292408035997774E-3</v>
      </c>
      <c r="F752" s="34">
        <f t="shared" si="1310"/>
        <v>8.2408123706278046E-3</v>
      </c>
      <c r="G752" s="34">
        <f t="shared" si="1310"/>
        <v>7.9621375561621296E-3</v>
      </c>
      <c r="H752" s="34">
        <f t="shared" si="1310"/>
        <v>7.6928865276928793E-3</v>
      </c>
      <c r="I752" s="34">
        <f t="shared" si="1310"/>
        <v>7.4327406064665516E-3</v>
      </c>
      <c r="J752" s="34">
        <f t="shared" si="1310"/>
        <v>7.1813918903058478E-3</v>
      </c>
      <c r="K752" s="34">
        <f t="shared" si="1310"/>
        <v>6.9385428891843943E-3</v>
      </c>
      <c r="L752" s="34">
        <f t="shared" si="1310"/>
        <v>6.7039061731250195E-3</v>
      </c>
      <c r="M752" s="34">
        <f t="shared" si="1310"/>
        <v>6.4772040320048496E-3</v>
      </c>
      <c r="N752" s="34">
        <f t="shared" si="1310"/>
        <v>6.2581681468645905E-3</v>
      </c>
      <c r="O752" s="34">
        <f t="shared" si="1310"/>
        <v>6.0465392723329367E-3</v>
      </c>
      <c r="P752" s="34">
        <f t="shared" si="1310"/>
        <v>5.8420669297902785E-3</v>
      </c>
      <c r="Q752" s="34">
        <f t="shared" si="1310"/>
        <v>5.6445091109084819E-3</v>
      </c>
      <c r="R752" s="34">
        <f t="shared" si="1310"/>
        <v>5.4536319912159249E-3</v>
      </c>
      <c r="S752" s="34">
        <f t="shared" si="1310"/>
        <v>5.2692096533487201E-3</v>
      </c>
      <c r="T752" s="34">
        <f t="shared" si="1310"/>
        <v>5.0910238196605999E-3</v>
      </c>
      <c r="U752" s="34">
        <f t="shared" si="1310"/>
        <v>4.918863593874976E-3</v>
      </c>
      <c r="V752" s="182">
        <f>SUM(B752:U752)</f>
        <v>0.13910389731785813</v>
      </c>
      <c r="W752" s="35"/>
    </row>
    <row r="753" spans="1:23">
      <c r="A753" s="49"/>
      <c r="B753" s="34"/>
      <c r="C753" s="34"/>
      <c r="D753" s="34"/>
      <c r="E753" s="34"/>
      <c r="F753" s="34"/>
      <c r="G753" s="34"/>
      <c r="H753" s="34"/>
      <c r="I753" s="34"/>
      <c r="J753" s="34"/>
      <c r="K753" s="34"/>
      <c r="L753" s="34"/>
      <c r="M753" s="34"/>
      <c r="N753" s="34"/>
      <c r="O753" s="34"/>
      <c r="P753" s="34"/>
      <c r="Q753" s="34"/>
      <c r="R753" s="34"/>
      <c r="S753" s="34"/>
      <c r="T753" s="34"/>
      <c r="U753" s="34"/>
      <c r="V753" s="182"/>
      <c r="W753" s="35"/>
    </row>
    <row r="754" spans="1:23">
      <c r="A754" s="131" t="s">
        <v>1163</v>
      </c>
      <c r="B754" s="100"/>
      <c r="C754" s="100"/>
      <c r="D754" s="100"/>
      <c r="E754" s="100"/>
      <c r="F754" s="100"/>
      <c r="G754" s="100"/>
      <c r="H754" s="100"/>
      <c r="I754" s="100"/>
      <c r="J754" s="100"/>
      <c r="K754" s="100"/>
      <c r="L754" s="100"/>
      <c r="M754" s="100"/>
      <c r="N754" s="100"/>
      <c r="O754" s="100"/>
      <c r="P754" s="100"/>
      <c r="Q754" s="100"/>
      <c r="R754" s="100"/>
      <c r="S754" s="100"/>
      <c r="T754" s="100"/>
      <c r="U754" s="100"/>
      <c r="V754" s="179"/>
      <c r="W754" s="140"/>
    </row>
    <row r="755" spans="1:23">
      <c r="A755" s="200" t="s">
        <v>679</v>
      </c>
      <c r="B755" s="52">
        <f t="shared" ref="B755:U755" si="1311">B141</f>
        <v>6.7499999999999999E-3</v>
      </c>
      <c r="C755" s="52">
        <f t="shared" si="1311"/>
        <v>0</v>
      </c>
      <c r="D755" s="52">
        <f t="shared" si="1311"/>
        <v>0</v>
      </c>
      <c r="E755" s="52">
        <f t="shared" si="1311"/>
        <v>6.7499999999999999E-3</v>
      </c>
      <c r="F755" s="52">
        <f t="shared" si="1311"/>
        <v>0</v>
      </c>
      <c r="G755" s="52">
        <f t="shared" si="1311"/>
        <v>0</v>
      </c>
      <c r="H755" s="52">
        <f t="shared" si="1311"/>
        <v>6.7499999999999999E-3</v>
      </c>
      <c r="I755" s="52">
        <f t="shared" si="1311"/>
        <v>0</v>
      </c>
      <c r="J755" s="52">
        <f t="shared" si="1311"/>
        <v>0</v>
      </c>
      <c r="K755" s="52">
        <f t="shared" si="1311"/>
        <v>6.7499999999999999E-3</v>
      </c>
      <c r="L755" s="52">
        <f t="shared" si="1311"/>
        <v>0</v>
      </c>
      <c r="M755" s="52">
        <f t="shared" si="1311"/>
        <v>0</v>
      </c>
      <c r="N755" s="52">
        <f t="shared" si="1311"/>
        <v>6.7499999999999999E-3</v>
      </c>
      <c r="O755" s="52">
        <f t="shared" si="1311"/>
        <v>0</v>
      </c>
      <c r="P755" s="52">
        <f t="shared" si="1311"/>
        <v>0</v>
      </c>
      <c r="Q755" s="52">
        <f t="shared" si="1311"/>
        <v>6.7499999999999999E-3</v>
      </c>
      <c r="R755" s="52">
        <f t="shared" si="1311"/>
        <v>0</v>
      </c>
      <c r="S755" s="52">
        <f t="shared" si="1311"/>
        <v>0</v>
      </c>
      <c r="T755" s="52">
        <f t="shared" si="1311"/>
        <v>6.7499999999999999E-3</v>
      </c>
      <c r="U755" s="52">
        <f t="shared" si="1311"/>
        <v>0</v>
      </c>
      <c r="V755" s="180">
        <f>SUM(B755:U755)</f>
        <v>4.725E-2</v>
      </c>
      <c r="W755" s="53">
        <f>V755/20</f>
        <v>2.3625E-3</v>
      </c>
    </row>
    <row r="756" spans="1:23" s="3" customFormat="1">
      <c r="A756" s="200" t="s">
        <v>680</v>
      </c>
      <c r="B756" s="52">
        <f>('Scenario 2 Assumptions'!$B$279*('Scenario 2 Assumptions'!$B$323*0.5)/20)+B152</f>
        <v>1.7381250000000001E-2</v>
      </c>
      <c r="C756" s="52">
        <f>('Scenario 2 Assumptions'!$B$279*('Scenario 2 Assumptions'!$B$323*0.5)/20)+C152</f>
        <v>1.7381250000000001E-2</v>
      </c>
      <c r="D756" s="52">
        <f>('Scenario 2 Assumptions'!$B$279*('Scenario 2 Assumptions'!$B$323*0.5)/20)+D152</f>
        <v>1.7381250000000001E-2</v>
      </c>
      <c r="E756" s="52">
        <f>('Scenario 2 Assumptions'!$B$279*('Scenario 2 Assumptions'!$B$323*0.5)/20)+E152</f>
        <v>1.7381250000000001E-2</v>
      </c>
      <c r="F756" s="52">
        <f>('Scenario 2 Assumptions'!$B$279*('Scenario 2 Assumptions'!$B$323*0.5)/20)+F152</f>
        <v>1.7381250000000001E-2</v>
      </c>
      <c r="G756" s="52">
        <f>('Scenario 2 Assumptions'!$B$279*('Scenario 2 Assumptions'!$B$323*0.5)/20)+G152</f>
        <v>1.7381250000000001E-2</v>
      </c>
      <c r="H756" s="52">
        <f>('Scenario 2 Assumptions'!$B$279*('Scenario 2 Assumptions'!$B$323*0.5)/20)+H152</f>
        <v>1.7381250000000001E-2</v>
      </c>
      <c r="I756" s="52">
        <f>('Scenario 2 Assumptions'!$B$279*('Scenario 2 Assumptions'!$B$323*0.5)/20)+I152</f>
        <v>1.7381250000000001E-2</v>
      </c>
      <c r="J756" s="52">
        <f>('Scenario 2 Assumptions'!$B$279*('Scenario 2 Assumptions'!$B$323*0.5)/20)+J152</f>
        <v>1.7381250000000001E-2</v>
      </c>
      <c r="K756" s="52">
        <f>('Scenario 2 Assumptions'!$B$279*('Scenario 2 Assumptions'!$B$323*0.5)/20)+K152</f>
        <v>1.7381250000000001E-2</v>
      </c>
      <c r="L756" s="52">
        <f>('Scenario 2 Assumptions'!$B$279*('Scenario 2 Assumptions'!$B$323*0.5)/20)+L152</f>
        <v>1.7381250000000001E-2</v>
      </c>
      <c r="M756" s="52">
        <f>('Scenario 2 Assumptions'!$B$279*('Scenario 2 Assumptions'!$B$323*0.5)/20)+M152</f>
        <v>1.7381250000000001E-2</v>
      </c>
      <c r="N756" s="52">
        <f>('Scenario 2 Assumptions'!$B$279*('Scenario 2 Assumptions'!$B$323*0.5)/20)+N152</f>
        <v>1.7381250000000001E-2</v>
      </c>
      <c r="O756" s="52">
        <f>('Scenario 2 Assumptions'!$B$279*('Scenario 2 Assumptions'!$B$323*0.5)/20)+O152</f>
        <v>1.7381250000000001E-2</v>
      </c>
      <c r="P756" s="52">
        <f>('Scenario 2 Assumptions'!$B$279*('Scenario 2 Assumptions'!$B$323*0.5)/20)+P152</f>
        <v>1.7381250000000001E-2</v>
      </c>
      <c r="Q756" s="52">
        <f>('Scenario 2 Assumptions'!$B$279*('Scenario 2 Assumptions'!$B$323*0.5)/20)+Q152</f>
        <v>1.7381250000000001E-2</v>
      </c>
      <c r="R756" s="52">
        <f>('Scenario 2 Assumptions'!$B$279*('Scenario 2 Assumptions'!$B$323*0.5)/20)+R152</f>
        <v>1.7381250000000001E-2</v>
      </c>
      <c r="S756" s="52">
        <f>('Scenario 2 Assumptions'!$B$279*('Scenario 2 Assumptions'!$B$323*0.5)/20)+S152</f>
        <v>1.7381250000000001E-2</v>
      </c>
      <c r="T756" s="52">
        <f>('Scenario 2 Assumptions'!$B$279*('Scenario 2 Assumptions'!$B$323*0.5)/20)+T152</f>
        <v>1.7381250000000001E-2</v>
      </c>
      <c r="U756" s="52">
        <f>('Scenario 2 Assumptions'!$B$279*('Scenario 2 Assumptions'!$B$323*0.5)/20)+U152</f>
        <v>1.7381250000000001E-2</v>
      </c>
      <c r="V756" s="180">
        <f t="shared" ref="V756:V757" si="1312">SUM(B756:U756)</f>
        <v>0.34762500000000018</v>
      </c>
      <c r="W756" s="53">
        <f t="shared" ref="W756:W757" si="1313">V756/20</f>
        <v>1.7381250000000008E-2</v>
      </c>
    </row>
    <row r="757" spans="1:23" ht="13.5" customHeight="1">
      <c r="A757" s="49" t="s">
        <v>664</v>
      </c>
      <c r="B757" s="34">
        <f>SUM(B755:B756)</f>
        <v>2.413125E-2</v>
      </c>
      <c r="C757" s="34">
        <f t="shared" ref="C757" si="1314">SUM(C755:C756)</f>
        <v>1.7381250000000001E-2</v>
      </c>
      <c r="D757" s="34">
        <f t="shared" ref="D757" si="1315">SUM(D755:D756)</f>
        <v>1.7381250000000001E-2</v>
      </c>
      <c r="E757" s="34">
        <f t="shared" ref="E757" si="1316">SUM(E755:E756)</f>
        <v>2.413125E-2</v>
      </c>
      <c r="F757" s="34">
        <f t="shared" ref="F757" si="1317">SUM(F755:F756)</f>
        <v>1.7381250000000001E-2</v>
      </c>
      <c r="G757" s="34">
        <f t="shared" ref="G757" si="1318">SUM(G755:G756)</f>
        <v>1.7381250000000001E-2</v>
      </c>
      <c r="H757" s="34">
        <f t="shared" ref="H757" si="1319">SUM(H755:H756)</f>
        <v>2.413125E-2</v>
      </c>
      <c r="I757" s="34">
        <f t="shared" ref="I757" si="1320">SUM(I755:I756)</f>
        <v>1.7381250000000001E-2</v>
      </c>
      <c r="J757" s="34">
        <f t="shared" ref="J757" si="1321">SUM(J755:J756)</f>
        <v>1.7381250000000001E-2</v>
      </c>
      <c r="K757" s="34">
        <f t="shared" ref="K757" si="1322">SUM(K755:K756)</f>
        <v>2.413125E-2</v>
      </c>
      <c r="L757" s="34">
        <f t="shared" ref="L757" si="1323">SUM(L755:L756)</f>
        <v>1.7381250000000001E-2</v>
      </c>
      <c r="M757" s="34">
        <f t="shared" ref="M757" si="1324">SUM(M755:M756)</f>
        <v>1.7381250000000001E-2</v>
      </c>
      <c r="N757" s="34">
        <f t="shared" ref="N757" si="1325">SUM(N755:N756)</f>
        <v>2.413125E-2</v>
      </c>
      <c r="O757" s="34">
        <f t="shared" ref="O757" si="1326">SUM(O755:O756)</f>
        <v>1.7381250000000001E-2</v>
      </c>
      <c r="P757" s="34">
        <f t="shared" ref="P757" si="1327">SUM(P755:P756)</f>
        <v>1.7381250000000001E-2</v>
      </c>
      <c r="Q757" s="34">
        <f t="shared" ref="Q757" si="1328">SUM(Q755:Q756)</f>
        <v>2.413125E-2</v>
      </c>
      <c r="R757" s="34">
        <f t="shared" ref="R757" si="1329">SUM(R755:R756)</f>
        <v>1.7381250000000001E-2</v>
      </c>
      <c r="S757" s="34">
        <f t="shared" ref="S757" si="1330">SUM(S755:S756)</f>
        <v>1.7381250000000001E-2</v>
      </c>
      <c r="T757" s="34">
        <f t="shared" ref="T757" si="1331">SUM(T755:T756)</f>
        <v>2.413125E-2</v>
      </c>
      <c r="U757" s="34">
        <f t="shared" ref="U757" si="1332">SUM(U755:U756)</f>
        <v>1.7381250000000001E-2</v>
      </c>
      <c r="V757" s="180">
        <f t="shared" si="1312"/>
        <v>0.39487500000000009</v>
      </c>
      <c r="W757" s="53">
        <f t="shared" si="1313"/>
        <v>1.9743750000000004E-2</v>
      </c>
    </row>
    <row r="758" spans="1:23" s="81" customFormat="1">
      <c r="A758" s="134" t="s">
        <v>123</v>
      </c>
      <c r="B758" s="52">
        <v>0.96618357487922713</v>
      </c>
      <c r="C758" s="52">
        <v>0.93351070036640305</v>
      </c>
      <c r="D758" s="52">
        <v>0.90194270566802237</v>
      </c>
      <c r="E758" s="52">
        <v>0.87144222769857238</v>
      </c>
      <c r="F758" s="52">
        <v>0.84197316685852419</v>
      </c>
      <c r="G758" s="52">
        <v>0.81350064430775282</v>
      </c>
      <c r="H758" s="52">
        <v>0.78599096068381913</v>
      </c>
      <c r="I758" s="52">
        <v>0.75941155621625056</v>
      </c>
      <c r="J758" s="52">
        <v>0.73373097218961414</v>
      </c>
      <c r="K758" s="52">
        <v>0.70891881370977217</v>
      </c>
      <c r="L758" s="52">
        <v>0.68494571372924851</v>
      </c>
      <c r="M758" s="52">
        <v>0.66178329828912896</v>
      </c>
      <c r="N758" s="52">
        <v>0.63940415293635666</v>
      </c>
      <c r="O758" s="52">
        <v>0.61778179027667302</v>
      </c>
      <c r="P758" s="52">
        <v>0.59689061862480497</v>
      </c>
      <c r="Q758" s="52">
        <v>0.57670591171478747</v>
      </c>
      <c r="R758" s="52">
        <v>0.55720377943457733</v>
      </c>
      <c r="S758" s="52">
        <v>0.53836113955031628</v>
      </c>
      <c r="T758" s="52">
        <v>0.52015569038677911</v>
      </c>
      <c r="U758" s="52">
        <v>0.50256588443167061</v>
      </c>
      <c r="V758" s="180"/>
      <c r="W758" s="133"/>
    </row>
    <row r="759" spans="1:23" s="81" customFormat="1">
      <c r="A759" s="50" t="s">
        <v>1069</v>
      </c>
      <c r="B759" s="34">
        <f t="shared" ref="B759:U759" si="1333">B758*B757</f>
        <v>2.3315217391304349E-2</v>
      </c>
      <c r="C759" s="34">
        <f t="shared" si="1333"/>
        <v>1.6225582860743545E-2</v>
      </c>
      <c r="D759" s="34">
        <f t="shared" si="1333"/>
        <v>1.5676891652892315E-2</v>
      </c>
      <c r="E759" s="34">
        <f t="shared" si="1333"/>
        <v>2.1028990257151176E-2</v>
      </c>
      <c r="F759" s="34">
        <f t="shared" si="1333"/>
        <v>1.4634546106459725E-2</v>
      </c>
      <c r="G759" s="34">
        <f t="shared" si="1333"/>
        <v>1.413965807387413E-2</v>
      </c>
      <c r="H759" s="34">
        <f t="shared" si="1333"/>
        <v>1.8966944370001411E-2</v>
      </c>
      <c r="I759" s="34">
        <f t="shared" si="1333"/>
        <v>1.3199522111483706E-2</v>
      </c>
      <c r="J759" s="34">
        <f t="shared" si="1333"/>
        <v>1.2753161460370732E-2</v>
      </c>
      <c r="K759" s="34">
        <f t="shared" si="1333"/>
        <v>1.7107097123333938E-2</v>
      </c>
      <c r="L759" s="34">
        <f t="shared" si="1333"/>
        <v>1.1905212686756501E-2</v>
      </c>
      <c r="M759" s="34">
        <f t="shared" si="1333"/>
        <v>1.1502620953387924E-2</v>
      </c>
      <c r="N759" s="34">
        <f t="shared" si="1333"/>
        <v>1.5429621465545457E-2</v>
      </c>
      <c r="O759" s="34">
        <f t="shared" si="1333"/>
        <v>1.0737819742246423E-2</v>
      </c>
      <c r="P759" s="34">
        <f t="shared" si="1333"/>
        <v>1.0374705064972392E-2</v>
      </c>
      <c r="Q759" s="34">
        <f t="shared" si="1333"/>
        <v>1.3916634532067465E-2</v>
      </c>
      <c r="R759" s="34">
        <f t="shared" si="1333"/>
        <v>9.684898191297248E-3</v>
      </c>
      <c r="S759" s="34">
        <f t="shared" si="1333"/>
        <v>9.3573895568089347E-3</v>
      </c>
      <c r="T759" s="34">
        <f t="shared" si="1333"/>
        <v>1.2552007003645964E-2</v>
      </c>
      <c r="U759" s="34">
        <f t="shared" si="1333"/>
        <v>8.735223278777975E-3</v>
      </c>
      <c r="V759" s="182">
        <f>SUM(B759:U759)</f>
        <v>0.28124374388312129</v>
      </c>
      <c r="W759" s="35"/>
    </row>
    <row r="760" spans="1:23">
      <c r="A760" s="49"/>
      <c r="B760" s="34"/>
      <c r="C760" s="34"/>
      <c r="D760" s="34"/>
      <c r="E760" s="34"/>
      <c r="F760" s="34"/>
      <c r="G760" s="34"/>
      <c r="H760" s="34"/>
      <c r="I760" s="34"/>
      <c r="J760" s="34"/>
      <c r="K760" s="34"/>
      <c r="L760" s="34"/>
      <c r="M760" s="34"/>
      <c r="N760" s="34"/>
      <c r="O760" s="34"/>
      <c r="P760" s="34"/>
      <c r="Q760" s="34"/>
      <c r="R760" s="34"/>
      <c r="S760" s="34"/>
      <c r="T760" s="34"/>
      <c r="U760" s="34"/>
      <c r="V760" s="182"/>
      <c r="W760" s="35"/>
    </row>
    <row r="761" spans="1:23">
      <c r="A761" s="131" t="s">
        <v>1234</v>
      </c>
      <c r="B761" s="100"/>
      <c r="C761" s="100"/>
      <c r="D761" s="100"/>
      <c r="E761" s="100"/>
      <c r="F761" s="100"/>
      <c r="G761" s="100"/>
      <c r="H761" s="100"/>
      <c r="I761" s="100"/>
      <c r="J761" s="100"/>
      <c r="K761" s="100"/>
      <c r="L761" s="100"/>
      <c r="M761" s="100"/>
      <c r="N761" s="100"/>
      <c r="O761" s="100"/>
      <c r="P761" s="100"/>
      <c r="Q761" s="100"/>
      <c r="R761" s="100"/>
      <c r="S761" s="100"/>
      <c r="T761" s="100"/>
      <c r="U761" s="100"/>
      <c r="V761" s="179"/>
      <c r="W761" s="140"/>
    </row>
    <row r="762" spans="1:23">
      <c r="A762" s="200" t="s">
        <v>679</v>
      </c>
      <c r="B762" s="52">
        <v>0</v>
      </c>
      <c r="C762" s="52">
        <v>0</v>
      </c>
      <c r="D762" s="52">
        <v>0</v>
      </c>
      <c r="E762" s="52">
        <v>0</v>
      </c>
      <c r="F762" s="52">
        <v>0</v>
      </c>
      <c r="G762" s="52">
        <v>0</v>
      </c>
      <c r="H762" s="52">
        <v>0</v>
      </c>
      <c r="I762" s="52">
        <v>0</v>
      </c>
      <c r="J762" s="52">
        <v>0</v>
      </c>
      <c r="K762" s="52">
        <v>0</v>
      </c>
      <c r="L762" s="52">
        <v>0</v>
      </c>
      <c r="M762" s="52">
        <v>0</v>
      </c>
      <c r="N762" s="52">
        <v>0</v>
      </c>
      <c r="O762" s="52">
        <v>0</v>
      </c>
      <c r="P762" s="52">
        <v>0</v>
      </c>
      <c r="Q762" s="52">
        <v>0</v>
      </c>
      <c r="R762" s="52">
        <v>0</v>
      </c>
      <c r="S762" s="52">
        <v>0</v>
      </c>
      <c r="T762" s="52">
        <v>0</v>
      </c>
      <c r="U762" s="52">
        <v>0</v>
      </c>
      <c r="V762" s="180">
        <f>SUM(B762:U762)</f>
        <v>0</v>
      </c>
      <c r="W762" s="53">
        <f>V762/20</f>
        <v>0</v>
      </c>
    </row>
    <row r="763" spans="1:23" s="3" customFormat="1">
      <c r="A763" s="200" t="s">
        <v>680</v>
      </c>
      <c r="B763" s="52">
        <f>('Scenario 2 Assumptions'!$B$279*('Scenario 2 Assumptions'!$B$324*0.5)/20)</f>
        <v>5.0624999999999997E-4</v>
      </c>
      <c r="C763" s="52">
        <f>('Scenario 2 Assumptions'!$B$279*('Scenario 2 Assumptions'!$B$324*0.5)/20)</f>
        <v>5.0624999999999997E-4</v>
      </c>
      <c r="D763" s="52">
        <f>('Scenario 2 Assumptions'!$B$279*('Scenario 2 Assumptions'!$B$324*0.5)/20)</f>
        <v>5.0624999999999997E-4</v>
      </c>
      <c r="E763" s="52">
        <f>('Scenario 2 Assumptions'!$B$279*('Scenario 2 Assumptions'!$B$324*0.5)/20)</f>
        <v>5.0624999999999997E-4</v>
      </c>
      <c r="F763" s="52">
        <f>('Scenario 2 Assumptions'!$B$279*('Scenario 2 Assumptions'!$B$324*0.5)/20)</f>
        <v>5.0624999999999997E-4</v>
      </c>
      <c r="G763" s="52">
        <f>('Scenario 2 Assumptions'!$B$279*('Scenario 2 Assumptions'!$B$324*0.5)/20)</f>
        <v>5.0624999999999997E-4</v>
      </c>
      <c r="H763" s="52">
        <f>('Scenario 2 Assumptions'!$B$279*('Scenario 2 Assumptions'!$B$324*0.5)/20)</f>
        <v>5.0624999999999997E-4</v>
      </c>
      <c r="I763" s="52">
        <f>('Scenario 2 Assumptions'!$B$279*('Scenario 2 Assumptions'!$B$324*0.5)/20)</f>
        <v>5.0624999999999997E-4</v>
      </c>
      <c r="J763" s="52">
        <f>('Scenario 2 Assumptions'!$B$279*('Scenario 2 Assumptions'!$B$324*0.5)/20)</f>
        <v>5.0624999999999997E-4</v>
      </c>
      <c r="K763" s="52">
        <f>('Scenario 2 Assumptions'!$B$279*('Scenario 2 Assumptions'!$B$324*0.5)/20)</f>
        <v>5.0624999999999997E-4</v>
      </c>
      <c r="L763" s="52">
        <f>('Scenario 2 Assumptions'!$B$279*('Scenario 2 Assumptions'!$B$324*0.5)/20)</f>
        <v>5.0624999999999997E-4</v>
      </c>
      <c r="M763" s="52">
        <f>('Scenario 2 Assumptions'!$B$279*('Scenario 2 Assumptions'!$B$324*0.5)/20)</f>
        <v>5.0624999999999997E-4</v>
      </c>
      <c r="N763" s="52">
        <f>('Scenario 2 Assumptions'!$B$279*('Scenario 2 Assumptions'!$B$324*0.5)/20)</f>
        <v>5.0624999999999997E-4</v>
      </c>
      <c r="O763" s="52">
        <f>('Scenario 2 Assumptions'!$B$279*('Scenario 2 Assumptions'!$B$324*0.5)/20)</f>
        <v>5.0624999999999997E-4</v>
      </c>
      <c r="P763" s="52">
        <f>('Scenario 2 Assumptions'!$B$279*('Scenario 2 Assumptions'!$B$324*0.5)/20)</f>
        <v>5.0624999999999997E-4</v>
      </c>
      <c r="Q763" s="52">
        <f>('Scenario 2 Assumptions'!$B$279*('Scenario 2 Assumptions'!$B$324*0.5)/20)</f>
        <v>5.0624999999999997E-4</v>
      </c>
      <c r="R763" s="52">
        <f>('Scenario 2 Assumptions'!$B$279*('Scenario 2 Assumptions'!$B$324*0.5)/20)</f>
        <v>5.0624999999999997E-4</v>
      </c>
      <c r="S763" s="52">
        <f>('Scenario 2 Assumptions'!$B$279*('Scenario 2 Assumptions'!$B$324*0.5)/20)</f>
        <v>5.0624999999999997E-4</v>
      </c>
      <c r="T763" s="52">
        <f>('Scenario 2 Assumptions'!$B$279*('Scenario 2 Assumptions'!$B$324*0.5)/20)</f>
        <v>5.0624999999999997E-4</v>
      </c>
      <c r="U763" s="52">
        <f>('Scenario 2 Assumptions'!$B$279*('Scenario 2 Assumptions'!$B$324*0.5)/20)</f>
        <v>5.0624999999999997E-4</v>
      </c>
      <c r="V763" s="180">
        <f t="shared" ref="V763:V764" si="1334">SUM(B763:U763)</f>
        <v>1.0124999999999997E-2</v>
      </c>
      <c r="W763" s="53">
        <f t="shared" ref="W763:W764" si="1335">V763/20</f>
        <v>5.0624999999999986E-4</v>
      </c>
    </row>
    <row r="764" spans="1:23" ht="13.5" customHeight="1">
      <c r="A764" s="49" t="s">
        <v>664</v>
      </c>
      <c r="B764" s="34">
        <f>SUM(B762:B763)</f>
        <v>5.0624999999999997E-4</v>
      </c>
      <c r="C764" s="34">
        <f t="shared" ref="C764" si="1336">SUM(C762:C763)</f>
        <v>5.0624999999999997E-4</v>
      </c>
      <c r="D764" s="34">
        <f t="shared" ref="D764" si="1337">SUM(D762:D763)</f>
        <v>5.0624999999999997E-4</v>
      </c>
      <c r="E764" s="34">
        <f t="shared" ref="E764" si="1338">SUM(E762:E763)</f>
        <v>5.0624999999999997E-4</v>
      </c>
      <c r="F764" s="34">
        <f t="shared" ref="F764" si="1339">SUM(F762:F763)</f>
        <v>5.0624999999999997E-4</v>
      </c>
      <c r="G764" s="34">
        <f t="shared" ref="G764" si="1340">SUM(G762:G763)</f>
        <v>5.0624999999999997E-4</v>
      </c>
      <c r="H764" s="34">
        <f t="shared" ref="H764" si="1341">SUM(H762:H763)</f>
        <v>5.0624999999999997E-4</v>
      </c>
      <c r="I764" s="34">
        <f t="shared" ref="I764" si="1342">SUM(I762:I763)</f>
        <v>5.0624999999999997E-4</v>
      </c>
      <c r="J764" s="34">
        <f t="shared" ref="J764" si="1343">SUM(J762:J763)</f>
        <v>5.0624999999999997E-4</v>
      </c>
      <c r="K764" s="34">
        <f t="shared" ref="K764" si="1344">SUM(K762:K763)</f>
        <v>5.0624999999999997E-4</v>
      </c>
      <c r="L764" s="34">
        <f t="shared" ref="L764" si="1345">SUM(L762:L763)</f>
        <v>5.0624999999999997E-4</v>
      </c>
      <c r="M764" s="34">
        <f t="shared" ref="M764" si="1346">SUM(M762:M763)</f>
        <v>5.0624999999999997E-4</v>
      </c>
      <c r="N764" s="34">
        <f t="shared" ref="N764" si="1347">SUM(N762:N763)</f>
        <v>5.0624999999999997E-4</v>
      </c>
      <c r="O764" s="34">
        <f t="shared" ref="O764" si="1348">SUM(O762:O763)</f>
        <v>5.0624999999999997E-4</v>
      </c>
      <c r="P764" s="34">
        <f t="shared" ref="P764" si="1349">SUM(P762:P763)</f>
        <v>5.0624999999999997E-4</v>
      </c>
      <c r="Q764" s="34">
        <f t="shared" ref="Q764" si="1350">SUM(Q762:Q763)</f>
        <v>5.0624999999999997E-4</v>
      </c>
      <c r="R764" s="34">
        <f t="shared" ref="R764" si="1351">SUM(R762:R763)</f>
        <v>5.0624999999999997E-4</v>
      </c>
      <c r="S764" s="34">
        <f t="shared" ref="S764" si="1352">SUM(S762:S763)</f>
        <v>5.0624999999999997E-4</v>
      </c>
      <c r="T764" s="34">
        <f t="shared" ref="T764" si="1353">SUM(T762:T763)</f>
        <v>5.0624999999999997E-4</v>
      </c>
      <c r="U764" s="34">
        <f t="shared" ref="U764" si="1354">SUM(U762:U763)</f>
        <v>5.0624999999999997E-4</v>
      </c>
      <c r="V764" s="180">
        <f t="shared" si="1334"/>
        <v>1.0124999999999997E-2</v>
      </c>
      <c r="W764" s="53">
        <f t="shared" si="1335"/>
        <v>5.0624999999999986E-4</v>
      </c>
    </row>
    <row r="765" spans="1:23" s="81" customFormat="1">
      <c r="A765" s="134" t="s">
        <v>123</v>
      </c>
      <c r="B765" s="52">
        <v>0.96618357487922713</v>
      </c>
      <c r="C765" s="52">
        <v>0.93351070036640305</v>
      </c>
      <c r="D765" s="52">
        <v>0.90194270566802237</v>
      </c>
      <c r="E765" s="52">
        <v>0.87144222769857238</v>
      </c>
      <c r="F765" s="52">
        <v>0.84197316685852419</v>
      </c>
      <c r="G765" s="52">
        <v>0.81350064430775282</v>
      </c>
      <c r="H765" s="52">
        <v>0.78599096068381913</v>
      </c>
      <c r="I765" s="52">
        <v>0.75941155621625056</v>
      </c>
      <c r="J765" s="52">
        <v>0.73373097218961414</v>
      </c>
      <c r="K765" s="52">
        <v>0.70891881370977217</v>
      </c>
      <c r="L765" s="52">
        <v>0.68494571372924851</v>
      </c>
      <c r="M765" s="52">
        <v>0.66178329828912896</v>
      </c>
      <c r="N765" s="52">
        <v>0.63940415293635666</v>
      </c>
      <c r="O765" s="52">
        <v>0.61778179027667302</v>
      </c>
      <c r="P765" s="52">
        <v>0.59689061862480497</v>
      </c>
      <c r="Q765" s="52">
        <v>0.57670591171478747</v>
      </c>
      <c r="R765" s="52">
        <v>0.55720377943457733</v>
      </c>
      <c r="S765" s="52">
        <v>0.53836113955031628</v>
      </c>
      <c r="T765" s="52">
        <v>0.52015569038677911</v>
      </c>
      <c r="U765" s="52">
        <v>0.50256588443167061</v>
      </c>
      <c r="V765" s="180"/>
      <c r="W765" s="133"/>
    </row>
    <row r="766" spans="1:23" s="81" customFormat="1">
      <c r="A766" s="50" t="s">
        <v>1069</v>
      </c>
      <c r="B766" s="34">
        <f t="shared" ref="B766:U766" si="1355">B765*B764</f>
        <v>4.8913043478260873E-4</v>
      </c>
      <c r="C766" s="34">
        <f t="shared" si="1355"/>
        <v>4.7258979206049151E-4</v>
      </c>
      <c r="D766" s="34">
        <f t="shared" si="1355"/>
        <v>4.5660849474443629E-4</v>
      </c>
      <c r="E766" s="34">
        <f t="shared" si="1355"/>
        <v>4.4116762777240222E-4</v>
      </c>
      <c r="F766" s="34">
        <f t="shared" si="1355"/>
        <v>4.2624891572212785E-4</v>
      </c>
      <c r="G766" s="34">
        <f t="shared" si="1355"/>
        <v>4.1183470118079987E-4</v>
      </c>
      <c r="H766" s="34">
        <f t="shared" si="1355"/>
        <v>3.9790792384618339E-4</v>
      </c>
      <c r="I766" s="34">
        <f t="shared" si="1355"/>
        <v>3.8445210033447681E-4</v>
      </c>
      <c r="J766" s="34">
        <f t="shared" si="1355"/>
        <v>3.7145130467099212E-4</v>
      </c>
      <c r="K766" s="34">
        <f t="shared" si="1355"/>
        <v>3.5889014944057211E-4</v>
      </c>
      <c r="L766" s="34">
        <f t="shared" si="1355"/>
        <v>3.4675376757543203E-4</v>
      </c>
      <c r="M766" s="34">
        <f t="shared" si="1355"/>
        <v>3.3502779475887151E-4</v>
      </c>
      <c r="N766" s="34">
        <f t="shared" si="1355"/>
        <v>3.2369835242403053E-4</v>
      </c>
      <c r="O766" s="34">
        <f t="shared" si="1355"/>
        <v>3.1275203132756572E-4</v>
      </c>
      <c r="P766" s="34">
        <f t="shared" si="1355"/>
        <v>3.0217587567880747E-4</v>
      </c>
      <c r="Q766" s="34">
        <f t="shared" si="1355"/>
        <v>2.9195736780561113E-4</v>
      </c>
      <c r="R766" s="34">
        <f t="shared" si="1355"/>
        <v>2.8208441333875476E-4</v>
      </c>
      <c r="S766" s="34">
        <f t="shared" si="1355"/>
        <v>2.7254532689734758E-4</v>
      </c>
      <c r="T766" s="34">
        <f t="shared" si="1355"/>
        <v>2.6332881825830693E-4</v>
      </c>
      <c r="U766" s="34">
        <f t="shared" si="1355"/>
        <v>2.5442397899353325E-4</v>
      </c>
      <c r="V766" s="182">
        <f>SUM(B766:U766)</f>
        <v>7.1950291716133515E-3</v>
      </c>
      <c r="W766" s="35"/>
    </row>
    <row r="767" spans="1:23">
      <c r="A767" s="49"/>
      <c r="B767" s="34"/>
      <c r="C767" s="34"/>
      <c r="D767" s="34"/>
      <c r="E767" s="34"/>
      <c r="F767" s="34"/>
      <c r="G767" s="34"/>
      <c r="H767" s="34"/>
      <c r="I767" s="34"/>
      <c r="J767" s="34"/>
      <c r="K767" s="34"/>
      <c r="L767" s="34"/>
      <c r="M767" s="34"/>
      <c r="N767" s="34"/>
      <c r="O767" s="34"/>
      <c r="P767" s="34"/>
      <c r="Q767" s="34"/>
      <c r="R767" s="34"/>
      <c r="S767" s="34"/>
      <c r="T767" s="34"/>
      <c r="U767" s="34"/>
      <c r="V767" s="182"/>
      <c r="W767" s="35"/>
    </row>
    <row r="768" spans="1:23">
      <c r="A768" s="131" t="s">
        <v>1138</v>
      </c>
      <c r="B768" s="100"/>
      <c r="C768" s="100"/>
      <c r="D768" s="100"/>
      <c r="E768" s="100"/>
      <c r="F768" s="100"/>
      <c r="G768" s="100"/>
      <c r="H768" s="100"/>
      <c r="I768" s="100"/>
      <c r="J768" s="100"/>
      <c r="K768" s="100"/>
      <c r="L768" s="100"/>
      <c r="M768" s="100"/>
      <c r="N768" s="100"/>
      <c r="O768" s="100"/>
      <c r="P768" s="100"/>
      <c r="Q768" s="100"/>
      <c r="R768" s="100"/>
      <c r="S768" s="100"/>
      <c r="T768" s="100"/>
      <c r="U768" s="100"/>
      <c r="V768" s="179"/>
      <c r="W768" s="140"/>
    </row>
    <row r="769" spans="1:23">
      <c r="A769" s="200" t="s">
        <v>679</v>
      </c>
      <c r="B769" s="52">
        <v>0</v>
      </c>
      <c r="C769" s="52">
        <v>0</v>
      </c>
      <c r="D769" s="52">
        <v>0</v>
      </c>
      <c r="E769" s="52">
        <v>0</v>
      </c>
      <c r="F769" s="52">
        <v>0</v>
      </c>
      <c r="G769" s="52">
        <v>0</v>
      </c>
      <c r="H769" s="52">
        <v>0</v>
      </c>
      <c r="I769" s="52">
        <v>0</v>
      </c>
      <c r="J769" s="52">
        <v>0</v>
      </c>
      <c r="K769" s="52">
        <v>0</v>
      </c>
      <c r="L769" s="52">
        <v>0</v>
      </c>
      <c r="M769" s="52">
        <v>0</v>
      </c>
      <c r="N769" s="52">
        <v>0</v>
      </c>
      <c r="O769" s="52">
        <v>0</v>
      </c>
      <c r="P769" s="52">
        <v>0</v>
      </c>
      <c r="Q769" s="52">
        <v>0</v>
      </c>
      <c r="R769" s="52">
        <v>0</v>
      </c>
      <c r="S769" s="52">
        <v>0</v>
      </c>
      <c r="T769" s="52">
        <v>0</v>
      </c>
      <c r="U769" s="52">
        <v>0</v>
      </c>
      <c r="V769" s="180">
        <f>SUM(B769:U769)</f>
        <v>0</v>
      </c>
      <c r="W769" s="53">
        <f>V769/20</f>
        <v>0</v>
      </c>
    </row>
    <row r="770" spans="1:23" s="3" customFormat="1">
      <c r="A770" s="200" t="s">
        <v>680</v>
      </c>
      <c r="B770" s="52">
        <f>('Scenario 2 Assumptions'!$B$279*('Scenario 2 Assumptions'!$B$325*0.5)/20)</f>
        <v>3.3750000000000002E-4</v>
      </c>
      <c r="C770" s="52">
        <f>('Scenario 2 Assumptions'!$B$279*('Scenario 2 Assumptions'!$B$325*0.5)/20)</f>
        <v>3.3750000000000002E-4</v>
      </c>
      <c r="D770" s="52">
        <f>('Scenario 2 Assumptions'!$B$279*('Scenario 2 Assumptions'!$B$325*0.5)/20)</f>
        <v>3.3750000000000002E-4</v>
      </c>
      <c r="E770" s="52">
        <f>('Scenario 2 Assumptions'!$B$279*('Scenario 2 Assumptions'!$B$325*0.5)/20)</f>
        <v>3.3750000000000002E-4</v>
      </c>
      <c r="F770" s="52">
        <f>('Scenario 2 Assumptions'!$B$279*('Scenario 2 Assumptions'!$B$325*0.5)/20)</f>
        <v>3.3750000000000002E-4</v>
      </c>
      <c r="G770" s="52">
        <f>('Scenario 2 Assumptions'!$B$279*('Scenario 2 Assumptions'!$B$325*0.5)/20)</f>
        <v>3.3750000000000002E-4</v>
      </c>
      <c r="H770" s="52">
        <f>('Scenario 2 Assumptions'!$B$279*('Scenario 2 Assumptions'!$B$325*0.5)/20)</f>
        <v>3.3750000000000002E-4</v>
      </c>
      <c r="I770" s="52">
        <f>('Scenario 2 Assumptions'!$B$279*('Scenario 2 Assumptions'!$B$325*0.5)/20)</f>
        <v>3.3750000000000002E-4</v>
      </c>
      <c r="J770" s="52">
        <f>('Scenario 2 Assumptions'!$B$279*('Scenario 2 Assumptions'!$B$325*0.5)/20)</f>
        <v>3.3750000000000002E-4</v>
      </c>
      <c r="K770" s="52">
        <f>('Scenario 2 Assumptions'!$B$279*('Scenario 2 Assumptions'!$B$325*0.5)/20)</f>
        <v>3.3750000000000002E-4</v>
      </c>
      <c r="L770" s="52">
        <f>('Scenario 2 Assumptions'!$B$279*('Scenario 2 Assumptions'!$B$325*0.5)/20)</f>
        <v>3.3750000000000002E-4</v>
      </c>
      <c r="M770" s="52">
        <f>('Scenario 2 Assumptions'!$B$279*('Scenario 2 Assumptions'!$B$325*0.5)/20)</f>
        <v>3.3750000000000002E-4</v>
      </c>
      <c r="N770" s="52">
        <f>('Scenario 2 Assumptions'!$B$279*('Scenario 2 Assumptions'!$B$325*0.5)/20)</f>
        <v>3.3750000000000002E-4</v>
      </c>
      <c r="O770" s="52">
        <f>('Scenario 2 Assumptions'!$B$279*('Scenario 2 Assumptions'!$B$325*0.5)/20)</f>
        <v>3.3750000000000002E-4</v>
      </c>
      <c r="P770" s="52">
        <f>('Scenario 2 Assumptions'!$B$279*('Scenario 2 Assumptions'!$B$325*0.5)/20)</f>
        <v>3.3750000000000002E-4</v>
      </c>
      <c r="Q770" s="52">
        <f>('Scenario 2 Assumptions'!$B$279*('Scenario 2 Assumptions'!$B$325*0.5)/20)</f>
        <v>3.3750000000000002E-4</v>
      </c>
      <c r="R770" s="52">
        <f>('Scenario 2 Assumptions'!$B$279*('Scenario 2 Assumptions'!$B$325*0.5)/20)</f>
        <v>3.3750000000000002E-4</v>
      </c>
      <c r="S770" s="52">
        <f>('Scenario 2 Assumptions'!$B$279*('Scenario 2 Assumptions'!$B$325*0.5)/20)</f>
        <v>3.3750000000000002E-4</v>
      </c>
      <c r="T770" s="52">
        <f>('Scenario 2 Assumptions'!$B$279*('Scenario 2 Assumptions'!$B$325*0.5)/20)</f>
        <v>3.3750000000000002E-4</v>
      </c>
      <c r="U770" s="52">
        <f>('Scenario 2 Assumptions'!$B$279*('Scenario 2 Assumptions'!$B$325*0.5)/20)</f>
        <v>3.3750000000000002E-4</v>
      </c>
      <c r="V770" s="180">
        <f t="shared" ref="V770:V771" si="1356">SUM(B770:U770)</f>
        <v>6.7500000000000017E-3</v>
      </c>
      <c r="W770" s="53">
        <f t="shared" ref="W770:W771" si="1357">V770/20</f>
        <v>3.3750000000000007E-4</v>
      </c>
    </row>
    <row r="771" spans="1:23" ht="13.5" customHeight="1">
      <c r="A771" s="49" t="s">
        <v>664</v>
      </c>
      <c r="B771" s="34">
        <f>SUM(B769:B770)</f>
        <v>3.3750000000000002E-4</v>
      </c>
      <c r="C771" s="34">
        <f t="shared" ref="C771" si="1358">SUM(C769:C770)</f>
        <v>3.3750000000000002E-4</v>
      </c>
      <c r="D771" s="34">
        <f t="shared" ref="D771" si="1359">SUM(D769:D770)</f>
        <v>3.3750000000000002E-4</v>
      </c>
      <c r="E771" s="34">
        <f t="shared" ref="E771" si="1360">SUM(E769:E770)</f>
        <v>3.3750000000000002E-4</v>
      </c>
      <c r="F771" s="34">
        <f t="shared" ref="F771" si="1361">SUM(F769:F770)</f>
        <v>3.3750000000000002E-4</v>
      </c>
      <c r="G771" s="34">
        <f t="shared" ref="G771" si="1362">SUM(G769:G770)</f>
        <v>3.3750000000000002E-4</v>
      </c>
      <c r="H771" s="34">
        <f t="shared" ref="H771" si="1363">SUM(H769:H770)</f>
        <v>3.3750000000000002E-4</v>
      </c>
      <c r="I771" s="34">
        <f t="shared" ref="I771" si="1364">SUM(I769:I770)</f>
        <v>3.3750000000000002E-4</v>
      </c>
      <c r="J771" s="34">
        <f t="shared" ref="J771" si="1365">SUM(J769:J770)</f>
        <v>3.3750000000000002E-4</v>
      </c>
      <c r="K771" s="34">
        <f t="shared" ref="K771" si="1366">SUM(K769:K770)</f>
        <v>3.3750000000000002E-4</v>
      </c>
      <c r="L771" s="34">
        <f t="shared" ref="L771" si="1367">SUM(L769:L770)</f>
        <v>3.3750000000000002E-4</v>
      </c>
      <c r="M771" s="34">
        <f t="shared" ref="M771" si="1368">SUM(M769:M770)</f>
        <v>3.3750000000000002E-4</v>
      </c>
      <c r="N771" s="34">
        <f t="shared" ref="N771" si="1369">SUM(N769:N770)</f>
        <v>3.3750000000000002E-4</v>
      </c>
      <c r="O771" s="34">
        <f t="shared" ref="O771" si="1370">SUM(O769:O770)</f>
        <v>3.3750000000000002E-4</v>
      </c>
      <c r="P771" s="34">
        <f t="shared" ref="P771" si="1371">SUM(P769:P770)</f>
        <v>3.3750000000000002E-4</v>
      </c>
      <c r="Q771" s="34">
        <f t="shared" ref="Q771" si="1372">SUM(Q769:Q770)</f>
        <v>3.3750000000000002E-4</v>
      </c>
      <c r="R771" s="34">
        <f t="shared" ref="R771" si="1373">SUM(R769:R770)</f>
        <v>3.3750000000000002E-4</v>
      </c>
      <c r="S771" s="34">
        <f t="shared" ref="S771" si="1374">SUM(S769:S770)</f>
        <v>3.3750000000000002E-4</v>
      </c>
      <c r="T771" s="34">
        <f t="shared" ref="T771" si="1375">SUM(T769:T770)</f>
        <v>3.3750000000000002E-4</v>
      </c>
      <c r="U771" s="34">
        <f t="shared" ref="U771" si="1376">SUM(U769:U770)</f>
        <v>3.3750000000000002E-4</v>
      </c>
      <c r="V771" s="180">
        <f t="shared" si="1356"/>
        <v>6.7500000000000017E-3</v>
      </c>
      <c r="W771" s="53">
        <f t="shared" si="1357"/>
        <v>3.3750000000000007E-4</v>
      </c>
    </row>
    <row r="772" spans="1:23" s="81" customFormat="1">
      <c r="A772" s="134" t="s">
        <v>123</v>
      </c>
      <c r="B772" s="52">
        <v>0.96618357487922713</v>
      </c>
      <c r="C772" s="52">
        <v>0.93351070036640305</v>
      </c>
      <c r="D772" s="52">
        <v>0.90194270566802237</v>
      </c>
      <c r="E772" s="52">
        <v>0.87144222769857238</v>
      </c>
      <c r="F772" s="52">
        <v>0.84197316685852419</v>
      </c>
      <c r="G772" s="52">
        <v>0.81350064430775282</v>
      </c>
      <c r="H772" s="52">
        <v>0.78599096068381913</v>
      </c>
      <c r="I772" s="52">
        <v>0.75941155621625056</v>
      </c>
      <c r="J772" s="52">
        <v>0.73373097218961414</v>
      </c>
      <c r="K772" s="52">
        <v>0.70891881370977217</v>
      </c>
      <c r="L772" s="52">
        <v>0.68494571372924851</v>
      </c>
      <c r="M772" s="52">
        <v>0.66178329828912896</v>
      </c>
      <c r="N772" s="52">
        <v>0.63940415293635666</v>
      </c>
      <c r="O772" s="52">
        <v>0.61778179027667302</v>
      </c>
      <c r="P772" s="52">
        <v>0.59689061862480497</v>
      </c>
      <c r="Q772" s="52">
        <v>0.57670591171478747</v>
      </c>
      <c r="R772" s="52">
        <v>0.55720377943457733</v>
      </c>
      <c r="S772" s="52">
        <v>0.53836113955031628</v>
      </c>
      <c r="T772" s="52">
        <v>0.52015569038677911</v>
      </c>
      <c r="U772" s="52">
        <v>0.50256588443167061</v>
      </c>
      <c r="V772" s="180"/>
      <c r="W772" s="133"/>
    </row>
    <row r="773" spans="1:23" s="81" customFormat="1">
      <c r="A773" s="50" t="s">
        <v>1069</v>
      </c>
      <c r="B773" s="34">
        <f t="shared" ref="B773:U773" si="1377">B772*B771</f>
        <v>3.2608695652173916E-4</v>
      </c>
      <c r="C773" s="34">
        <f t="shared" si="1377"/>
        <v>3.1505986137366106E-4</v>
      </c>
      <c r="D773" s="34">
        <f t="shared" si="1377"/>
        <v>3.0440566316295754E-4</v>
      </c>
      <c r="E773" s="34">
        <f t="shared" si="1377"/>
        <v>2.9411175184826822E-4</v>
      </c>
      <c r="F773" s="34">
        <f t="shared" si="1377"/>
        <v>2.8416594381475195E-4</v>
      </c>
      <c r="G773" s="34">
        <f t="shared" si="1377"/>
        <v>2.745564674538666E-4</v>
      </c>
      <c r="H773" s="34">
        <f t="shared" si="1377"/>
        <v>2.6527194923078894E-4</v>
      </c>
      <c r="I773" s="34">
        <f t="shared" si="1377"/>
        <v>2.5630140022298459E-4</v>
      </c>
      <c r="J773" s="34">
        <f t="shared" si="1377"/>
        <v>2.476342031139948E-4</v>
      </c>
      <c r="K773" s="34">
        <f t="shared" si="1377"/>
        <v>2.3926009962704813E-4</v>
      </c>
      <c r="L773" s="34">
        <f t="shared" si="1377"/>
        <v>2.3116917838362139E-4</v>
      </c>
      <c r="M773" s="34">
        <f t="shared" si="1377"/>
        <v>2.2335186317258104E-4</v>
      </c>
      <c r="N773" s="34">
        <f t="shared" si="1377"/>
        <v>2.1579890161602038E-4</v>
      </c>
      <c r="O773" s="34">
        <f t="shared" si="1377"/>
        <v>2.0850135421837717E-4</v>
      </c>
      <c r="P773" s="34">
        <f t="shared" si="1377"/>
        <v>2.0145058378587169E-4</v>
      </c>
      <c r="Q773" s="34">
        <f t="shared" si="1377"/>
        <v>1.9463824520374079E-4</v>
      </c>
      <c r="R773" s="34">
        <f t="shared" si="1377"/>
        <v>1.8805627555916986E-4</v>
      </c>
      <c r="S773" s="34">
        <f t="shared" si="1377"/>
        <v>1.8169688459823176E-4</v>
      </c>
      <c r="T773" s="34">
        <f t="shared" si="1377"/>
        <v>1.7555254550553795E-4</v>
      </c>
      <c r="U773" s="34">
        <f t="shared" si="1377"/>
        <v>1.6961598599568884E-4</v>
      </c>
      <c r="V773" s="182">
        <f>SUM(B773:U773)</f>
        <v>4.7966861144089021E-3</v>
      </c>
      <c r="W773" s="35"/>
    </row>
    <row r="774" spans="1:23">
      <c r="A774" s="49"/>
      <c r="B774" s="34"/>
      <c r="C774" s="34"/>
      <c r="D774" s="34"/>
      <c r="E774" s="34"/>
      <c r="F774" s="34"/>
      <c r="G774" s="34"/>
      <c r="H774" s="34"/>
      <c r="I774" s="34"/>
      <c r="J774" s="34"/>
      <c r="K774" s="34"/>
      <c r="L774" s="34"/>
      <c r="M774" s="34"/>
      <c r="N774" s="34"/>
      <c r="O774" s="34"/>
      <c r="P774" s="34"/>
      <c r="Q774" s="34"/>
      <c r="R774" s="34"/>
      <c r="S774" s="34"/>
      <c r="T774" s="34"/>
      <c r="U774" s="34"/>
      <c r="V774" s="182"/>
      <c r="W774" s="35"/>
    </row>
    <row r="775" spans="1:23">
      <c r="A775" s="131" t="s">
        <v>1139</v>
      </c>
      <c r="B775" s="100"/>
      <c r="C775" s="100"/>
      <c r="D775" s="100"/>
      <c r="E775" s="100"/>
      <c r="F775" s="100"/>
      <c r="G775" s="100"/>
      <c r="H775" s="100"/>
      <c r="I775" s="100"/>
      <c r="J775" s="100"/>
      <c r="K775" s="100"/>
      <c r="L775" s="100"/>
      <c r="M775" s="100"/>
      <c r="N775" s="100"/>
      <c r="O775" s="100"/>
      <c r="P775" s="100"/>
      <c r="Q775" s="100"/>
      <c r="R775" s="100"/>
      <c r="S775" s="100"/>
      <c r="T775" s="100"/>
      <c r="U775" s="100"/>
      <c r="V775" s="179"/>
      <c r="W775" s="140"/>
    </row>
    <row r="776" spans="1:23">
      <c r="A776" s="200" t="s">
        <v>679</v>
      </c>
      <c r="B776" s="52">
        <v>0</v>
      </c>
      <c r="C776" s="52">
        <v>0</v>
      </c>
      <c r="D776" s="52">
        <v>0</v>
      </c>
      <c r="E776" s="52">
        <v>0</v>
      </c>
      <c r="F776" s="52">
        <v>0</v>
      </c>
      <c r="G776" s="52">
        <v>0</v>
      </c>
      <c r="H776" s="52">
        <v>0</v>
      </c>
      <c r="I776" s="52">
        <v>0</v>
      </c>
      <c r="J776" s="52">
        <v>0</v>
      </c>
      <c r="K776" s="52">
        <v>0</v>
      </c>
      <c r="L776" s="52">
        <v>0</v>
      </c>
      <c r="M776" s="52">
        <v>0</v>
      </c>
      <c r="N776" s="52">
        <v>0</v>
      </c>
      <c r="O776" s="52">
        <v>0</v>
      </c>
      <c r="P776" s="52">
        <v>0</v>
      </c>
      <c r="Q776" s="52">
        <v>0</v>
      </c>
      <c r="R776" s="52">
        <v>0</v>
      </c>
      <c r="S776" s="52">
        <v>0</v>
      </c>
      <c r="T776" s="52">
        <v>0</v>
      </c>
      <c r="U776" s="52">
        <v>0</v>
      </c>
      <c r="V776" s="180">
        <f>SUM(B776:U776)</f>
        <v>0</v>
      </c>
      <c r="W776" s="53">
        <f>V776/20</f>
        <v>0</v>
      </c>
    </row>
    <row r="777" spans="1:23" s="3" customFormat="1">
      <c r="A777" s="200" t="s">
        <v>680</v>
      </c>
      <c r="B777" s="52">
        <f>('Scenario 2 Assumptions'!$B$279*('Scenario 2 Assumptions'!$B$326*0.5)/20)</f>
        <v>3.3750000000000002E-4</v>
      </c>
      <c r="C777" s="52">
        <f>('Scenario 2 Assumptions'!$B$279*('Scenario 2 Assumptions'!$B$326*0.5)/20)</f>
        <v>3.3750000000000002E-4</v>
      </c>
      <c r="D777" s="52">
        <f>('Scenario 2 Assumptions'!$B$279*('Scenario 2 Assumptions'!$B$326*0.5)/20)</f>
        <v>3.3750000000000002E-4</v>
      </c>
      <c r="E777" s="52">
        <f>('Scenario 2 Assumptions'!$B$279*('Scenario 2 Assumptions'!$B$326*0.5)/20)</f>
        <v>3.3750000000000002E-4</v>
      </c>
      <c r="F777" s="52">
        <f>('Scenario 2 Assumptions'!$B$279*('Scenario 2 Assumptions'!$B$326*0.5)/20)</f>
        <v>3.3750000000000002E-4</v>
      </c>
      <c r="G777" s="52">
        <f>('Scenario 2 Assumptions'!$B$279*('Scenario 2 Assumptions'!$B$326*0.5)/20)</f>
        <v>3.3750000000000002E-4</v>
      </c>
      <c r="H777" s="52">
        <f>('Scenario 2 Assumptions'!$B$279*('Scenario 2 Assumptions'!$B$326*0.5)/20)</f>
        <v>3.3750000000000002E-4</v>
      </c>
      <c r="I777" s="52">
        <f>('Scenario 2 Assumptions'!$B$279*('Scenario 2 Assumptions'!$B$326*0.5)/20)</f>
        <v>3.3750000000000002E-4</v>
      </c>
      <c r="J777" s="52">
        <f>('Scenario 2 Assumptions'!$B$279*('Scenario 2 Assumptions'!$B$326*0.5)/20)</f>
        <v>3.3750000000000002E-4</v>
      </c>
      <c r="K777" s="52">
        <f>('Scenario 2 Assumptions'!$B$279*('Scenario 2 Assumptions'!$B$326*0.5)/20)</f>
        <v>3.3750000000000002E-4</v>
      </c>
      <c r="L777" s="52">
        <f>('Scenario 2 Assumptions'!$B$279*('Scenario 2 Assumptions'!$B$326*0.5)/20)</f>
        <v>3.3750000000000002E-4</v>
      </c>
      <c r="M777" s="52">
        <f>('Scenario 2 Assumptions'!$B$279*('Scenario 2 Assumptions'!$B$326*0.5)/20)</f>
        <v>3.3750000000000002E-4</v>
      </c>
      <c r="N777" s="52">
        <f>('Scenario 2 Assumptions'!$B$279*('Scenario 2 Assumptions'!$B$326*0.5)/20)</f>
        <v>3.3750000000000002E-4</v>
      </c>
      <c r="O777" s="52">
        <f>('Scenario 2 Assumptions'!$B$279*('Scenario 2 Assumptions'!$B$326*0.5)/20)</f>
        <v>3.3750000000000002E-4</v>
      </c>
      <c r="P777" s="52">
        <f>('Scenario 2 Assumptions'!$B$279*('Scenario 2 Assumptions'!$B$326*0.5)/20)</f>
        <v>3.3750000000000002E-4</v>
      </c>
      <c r="Q777" s="52">
        <f>('Scenario 2 Assumptions'!$B$279*('Scenario 2 Assumptions'!$B$326*0.5)/20)</f>
        <v>3.3750000000000002E-4</v>
      </c>
      <c r="R777" s="52">
        <f>('Scenario 2 Assumptions'!$B$279*('Scenario 2 Assumptions'!$B$326*0.5)/20)</f>
        <v>3.3750000000000002E-4</v>
      </c>
      <c r="S777" s="52">
        <f>('Scenario 2 Assumptions'!$B$279*('Scenario 2 Assumptions'!$B$326*0.5)/20)</f>
        <v>3.3750000000000002E-4</v>
      </c>
      <c r="T777" s="52">
        <f>('Scenario 2 Assumptions'!$B$279*('Scenario 2 Assumptions'!$B$326*0.5)/20)</f>
        <v>3.3750000000000002E-4</v>
      </c>
      <c r="U777" s="52">
        <f>('Scenario 2 Assumptions'!$B$279*('Scenario 2 Assumptions'!$B$326*0.5)/20)</f>
        <v>3.3750000000000002E-4</v>
      </c>
      <c r="V777" s="180">
        <f t="shared" ref="V777:V778" si="1378">SUM(B777:U777)</f>
        <v>6.7500000000000017E-3</v>
      </c>
      <c r="W777" s="53">
        <f t="shared" ref="W777:W778" si="1379">V777/20</f>
        <v>3.3750000000000007E-4</v>
      </c>
    </row>
    <row r="778" spans="1:23" ht="13.5" customHeight="1">
      <c r="A778" s="49" t="s">
        <v>664</v>
      </c>
      <c r="B778" s="34">
        <f>SUM(B776:B777)</f>
        <v>3.3750000000000002E-4</v>
      </c>
      <c r="C778" s="34">
        <f t="shared" ref="C778" si="1380">SUM(C776:C777)</f>
        <v>3.3750000000000002E-4</v>
      </c>
      <c r="D778" s="34">
        <f t="shared" ref="D778" si="1381">SUM(D776:D777)</f>
        <v>3.3750000000000002E-4</v>
      </c>
      <c r="E778" s="34">
        <f t="shared" ref="E778" si="1382">SUM(E776:E777)</f>
        <v>3.3750000000000002E-4</v>
      </c>
      <c r="F778" s="34">
        <f t="shared" ref="F778" si="1383">SUM(F776:F777)</f>
        <v>3.3750000000000002E-4</v>
      </c>
      <c r="G778" s="34">
        <f t="shared" ref="G778" si="1384">SUM(G776:G777)</f>
        <v>3.3750000000000002E-4</v>
      </c>
      <c r="H778" s="34">
        <f t="shared" ref="H778" si="1385">SUM(H776:H777)</f>
        <v>3.3750000000000002E-4</v>
      </c>
      <c r="I778" s="34">
        <f t="shared" ref="I778" si="1386">SUM(I776:I777)</f>
        <v>3.3750000000000002E-4</v>
      </c>
      <c r="J778" s="34">
        <f t="shared" ref="J778" si="1387">SUM(J776:J777)</f>
        <v>3.3750000000000002E-4</v>
      </c>
      <c r="K778" s="34">
        <f t="shared" ref="K778" si="1388">SUM(K776:K777)</f>
        <v>3.3750000000000002E-4</v>
      </c>
      <c r="L778" s="34">
        <f t="shared" ref="L778" si="1389">SUM(L776:L777)</f>
        <v>3.3750000000000002E-4</v>
      </c>
      <c r="M778" s="34">
        <f t="shared" ref="M778" si="1390">SUM(M776:M777)</f>
        <v>3.3750000000000002E-4</v>
      </c>
      <c r="N778" s="34">
        <f t="shared" ref="N778" si="1391">SUM(N776:N777)</f>
        <v>3.3750000000000002E-4</v>
      </c>
      <c r="O778" s="34">
        <f t="shared" ref="O778" si="1392">SUM(O776:O777)</f>
        <v>3.3750000000000002E-4</v>
      </c>
      <c r="P778" s="34">
        <f t="shared" ref="P778" si="1393">SUM(P776:P777)</f>
        <v>3.3750000000000002E-4</v>
      </c>
      <c r="Q778" s="34">
        <f t="shared" ref="Q778" si="1394">SUM(Q776:Q777)</f>
        <v>3.3750000000000002E-4</v>
      </c>
      <c r="R778" s="34">
        <f t="shared" ref="R778" si="1395">SUM(R776:R777)</f>
        <v>3.3750000000000002E-4</v>
      </c>
      <c r="S778" s="34">
        <f t="shared" ref="S778" si="1396">SUM(S776:S777)</f>
        <v>3.3750000000000002E-4</v>
      </c>
      <c r="T778" s="34">
        <f t="shared" ref="T778" si="1397">SUM(T776:T777)</f>
        <v>3.3750000000000002E-4</v>
      </c>
      <c r="U778" s="34">
        <f t="shared" ref="U778" si="1398">SUM(U776:U777)</f>
        <v>3.3750000000000002E-4</v>
      </c>
      <c r="V778" s="180">
        <f t="shared" si="1378"/>
        <v>6.7500000000000017E-3</v>
      </c>
      <c r="W778" s="53">
        <f t="shared" si="1379"/>
        <v>3.3750000000000007E-4</v>
      </c>
    </row>
    <row r="779" spans="1:23" s="81" customFormat="1">
      <c r="A779" s="134" t="s">
        <v>123</v>
      </c>
      <c r="B779" s="52">
        <v>0.96618357487922713</v>
      </c>
      <c r="C779" s="52">
        <v>0.93351070036640305</v>
      </c>
      <c r="D779" s="52">
        <v>0.90194270566802237</v>
      </c>
      <c r="E779" s="52">
        <v>0.87144222769857238</v>
      </c>
      <c r="F779" s="52">
        <v>0.84197316685852419</v>
      </c>
      <c r="G779" s="52">
        <v>0.81350064430775282</v>
      </c>
      <c r="H779" s="52">
        <v>0.78599096068381913</v>
      </c>
      <c r="I779" s="52">
        <v>0.75941155621625056</v>
      </c>
      <c r="J779" s="52">
        <v>0.73373097218961414</v>
      </c>
      <c r="K779" s="52">
        <v>0.70891881370977217</v>
      </c>
      <c r="L779" s="52">
        <v>0.68494571372924851</v>
      </c>
      <c r="M779" s="52">
        <v>0.66178329828912896</v>
      </c>
      <c r="N779" s="52">
        <v>0.63940415293635666</v>
      </c>
      <c r="O779" s="52">
        <v>0.61778179027667302</v>
      </c>
      <c r="P779" s="52">
        <v>0.59689061862480497</v>
      </c>
      <c r="Q779" s="52">
        <v>0.57670591171478747</v>
      </c>
      <c r="R779" s="52">
        <v>0.55720377943457733</v>
      </c>
      <c r="S779" s="52">
        <v>0.53836113955031628</v>
      </c>
      <c r="T779" s="52">
        <v>0.52015569038677911</v>
      </c>
      <c r="U779" s="52">
        <v>0.50256588443167061</v>
      </c>
      <c r="V779" s="180"/>
      <c r="W779" s="133"/>
    </row>
    <row r="780" spans="1:23" s="81" customFormat="1">
      <c r="A780" s="50" t="s">
        <v>1069</v>
      </c>
      <c r="B780" s="34">
        <f t="shared" ref="B780:U780" si="1399">B779*B778</f>
        <v>3.2608695652173916E-4</v>
      </c>
      <c r="C780" s="34">
        <f t="shared" si="1399"/>
        <v>3.1505986137366106E-4</v>
      </c>
      <c r="D780" s="34">
        <f t="shared" si="1399"/>
        <v>3.0440566316295754E-4</v>
      </c>
      <c r="E780" s="34">
        <f t="shared" si="1399"/>
        <v>2.9411175184826822E-4</v>
      </c>
      <c r="F780" s="34">
        <f t="shared" si="1399"/>
        <v>2.8416594381475195E-4</v>
      </c>
      <c r="G780" s="34">
        <f t="shared" si="1399"/>
        <v>2.745564674538666E-4</v>
      </c>
      <c r="H780" s="34">
        <f t="shared" si="1399"/>
        <v>2.6527194923078894E-4</v>
      </c>
      <c r="I780" s="34">
        <f t="shared" si="1399"/>
        <v>2.5630140022298459E-4</v>
      </c>
      <c r="J780" s="34">
        <f t="shared" si="1399"/>
        <v>2.476342031139948E-4</v>
      </c>
      <c r="K780" s="34">
        <f t="shared" si="1399"/>
        <v>2.3926009962704813E-4</v>
      </c>
      <c r="L780" s="34">
        <f t="shared" si="1399"/>
        <v>2.3116917838362139E-4</v>
      </c>
      <c r="M780" s="34">
        <f t="shared" si="1399"/>
        <v>2.2335186317258104E-4</v>
      </c>
      <c r="N780" s="34">
        <f t="shared" si="1399"/>
        <v>2.1579890161602038E-4</v>
      </c>
      <c r="O780" s="34">
        <f t="shared" si="1399"/>
        <v>2.0850135421837717E-4</v>
      </c>
      <c r="P780" s="34">
        <f t="shared" si="1399"/>
        <v>2.0145058378587169E-4</v>
      </c>
      <c r="Q780" s="34">
        <f t="shared" si="1399"/>
        <v>1.9463824520374079E-4</v>
      </c>
      <c r="R780" s="34">
        <f t="shared" si="1399"/>
        <v>1.8805627555916986E-4</v>
      </c>
      <c r="S780" s="34">
        <f t="shared" si="1399"/>
        <v>1.8169688459823176E-4</v>
      </c>
      <c r="T780" s="34">
        <f t="shared" si="1399"/>
        <v>1.7555254550553795E-4</v>
      </c>
      <c r="U780" s="34">
        <f t="shared" si="1399"/>
        <v>1.6961598599568884E-4</v>
      </c>
      <c r="V780" s="182">
        <f>SUM(B780:U780)</f>
        <v>4.7966861144089021E-3</v>
      </c>
      <c r="W780" s="35"/>
    </row>
    <row r="781" spans="1:23">
      <c r="A781" s="49"/>
      <c r="B781" s="34"/>
      <c r="C781" s="34"/>
      <c r="D781" s="34"/>
      <c r="E781" s="34"/>
      <c r="F781" s="34"/>
      <c r="G781" s="34"/>
      <c r="H781" s="34"/>
      <c r="I781" s="34"/>
      <c r="J781" s="34"/>
      <c r="K781" s="34"/>
      <c r="L781" s="34"/>
      <c r="M781" s="34"/>
      <c r="N781" s="34"/>
      <c r="O781" s="34"/>
      <c r="P781" s="34"/>
      <c r="Q781" s="34"/>
      <c r="R781" s="34"/>
      <c r="S781" s="34"/>
      <c r="T781" s="34"/>
      <c r="U781" s="34"/>
      <c r="V781" s="182"/>
      <c r="W781" s="35"/>
    </row>
    <row r="782" spans="1:23">
      <c r="A782" s="131" t="s">
        <v>1140</v>
      </c>
      <c r="B782" s="100"/>
      <c r="C782" s="100"/>
      <c r="D782" s="100"/>
      <c r="E782" s="100"/>
      <c r="F782" s="100"/>
      <c r="G782" s="100"/>
      <c r="H782" s="100"/>
      <c r="I782" s="100"/>
      <c r="J782" s="100"/>
      <c r="K782" s="100"/>
      <c r="L782" s="100"/>
      <c r="M782" s="100"/>
      <c r="N782" s="100"/>
      <c r="O782" s="100"/>
      <c r="P782" s="100"/>
      <c r="Q782" s="100"/>
      <c r="R782" s="100"/>
      <c r="S782" s="100"/>
      <c r="T782" s="100"/>
      <c r="U782" s="100"/>
      <c r="V782" s="179"/>
      <c r="W782" s="140"/>
    </row>
    <row r="783" spans="1:23">
      <c r="A783" s="200" t="s">
        <v>679</v>
      </c>
      <c r="B783" s="52">
        <v>0</v>
      </c>
      <c r="C783" s="52">
        <v>0</v>
      </c>
      <c r="D783" s="52">
        <v>0</v>
      </c>
      <c r="E783" s="52">
        <v>0</v>
      </c>
      <c r="F783" s="52">
        <v>0</v>
      </c>
      <c r="G783" s="52">
        <v>0</v>
      </c>
      <c r="H783" s="52">
        <v>0</v>
      </c>
      <c r="I783" s="52">
        <v>0</v>
      </c>
      <c r="J783" s="52">
        <v>0</v>
      </c>
      <c r="K783" s="52">
        <v>0</v>
      </c>
      <c r="L783" s="52">
        <v>0</v>
      </c>
      <c r="M783" s="52">
        <v>0</v>
      </c>
      <c r="N783" s="52">
        <v>0</v>
      </c>
      <c r="O783" s="52">
        <v>0</v>
      </c>
      <c r="P783" s="52">
        <v>0</v>
      </c>
      <c r="Q783" s="52">
        <v>0</v>
      </c>
      <c r="R783" s="52">
        <v>0</v>
      </c>
      <c r="S783" s="52">
        <v>0</v>
      </c>
      <c r="T783" s="52">
        <v>0</v>
      </c>
      <c r="U783" s="52">
        <v>0</v>
      </c>
      <c r="V783" s="180">
        <f>SUM(B783:U783)</f>
        <v>0</v>
      </c>
      <c r="W783" s="53">
        <f>V783/20</f>
        <v>0</v>
      </c>
    </row>
    <row r="784" spans="1:23" s="3" customFormat="1">
      <c r="A784" s="200" t="s">
        <v>680</v>
      </c>
      <c r="B784" s="52">
        <f>('Scenario 2 Assumptions'!$B$279*('Scenario 2 Assumptions'!$B$327*0.5)/20)</f>
        <v>3.3750000000000002E-4</v>
      </c>
      <c r="C784" s="52">
        <f>('Scenario 2 Assumptions'!$B$279*('Scenario 2 Assumptions'!$B$327*0.5)/20)</f>
        <v>3.3750000000000002E-4</v>
      </c>
      <c r="D784" s="52">
        <f>('Scenario 2 Assumptions'!$B$279*('Scenario 2 Assumptions'!$B$327*0.5)/20)</f>
        <v>3.3750000000000002E-4</v>
      </c>
      <c r="E784" s="52">
        <f>('Scenario 2 Assumptions'!$B$279*('Scenario 2 Assumptions'!$B$327*0.5)/20)</f>
        <v>3.3750000000000002E-4</v>
      </c>
      <c r="F784" s="52">
        <f>('Scenario 2 Assumptions'!$B$279*('Scenario 2 Assumptions'!$B$327*0.5)/20)</f>
        <v>3.3750000000000002E-4</v>
      </c>
      <c r="G784" s="52">
        <f>('Scenario 2 Assumptions'!$B$279*('Scenario 2 Assumptions'!$B$327*0.5)/20)</f>
        <v>3.3750000000000002E-4</v>
      </c>
      <c r="H784" s="52">
        <f>('Scenario 2 Assumptions'!$B$279*('Scenario 2 Assumptions'!$B$327*0.5)/20)</f>
        <v>3.3750000000000002E-4</v>
      </c>
      <c r="I784" s="52">
        <f>('Scenario 2 Assumptions'!$B$279*('Scenario 2 Assumptions'!$B$327*0.5)/20)</f>
        <v>3.3750000000000002E-4</v>
      </c>
      <c r="J784" s="52">
        <f>('Scenario 2 Assumptions'!$B$279*('Scenario 2 Assumptions'!$B$327*0.5)/20)</f>
        <v>3.3750000000000002E-4</v>
      </c>
      <c r="K784" s="52">
        <f>('Scenario 2 Assumptions'!$B$279*('Scenario 2 Assumptions'!$B$327*0.5)/20)</f>
        <v>3.3750000000000002E-4</v>
      </c>
      <c r="L784" s="52">
        <f>('Scenario 2 Assumptions'!$B$279*('Scenario 2 Assumptions'!$B$327*0.5)/20)</f>
        <v>3.3750000000000002E-4</v>
      </c>
      <c r="M784" s="52">
        <f>('Scenario 2 Assumptions'!$B$279*('Scenario 2 Assumptions'!$B$327*0.5)/20)</f>
        <v>3.3750000000000002E-4</v>
      </c>
      <c r="N784" s="52">
        <f>('Scenario 2 Assumptions'!$B$279*('Scenario 2 Assumptions'!$B$327*0.5)/20)</f>
        <v>3.3750000000000002E-4</v>
      </c>
      <c r="O784" s="52">
        <f>('Scenario 2 Assumptions'!$B$279*('Scenario 2 Assumptions'!$B$327*0.5)/20)</f>
        <v>3.3750000000000002E-4</v>
      </c>
      <c r="P784" s="52">
        <f>('Scenario 2 Assumptions'!$B$279*('Scenario 2 Assumptions'!$B$327*0.5)/20)</f>
        <v>3.3750000000000002E-4</v>
      </c>
      <c r="Q784" s="52">
        <f>('Scenario 2 Assumptions'!$B$279*('Scenario 2 Assumptions'!$B$327*0.5)/20)</f>
        <v>3.3750000000000002E-4</v>
      </c>
      <c r="R784" s="52">
        <f>('Scenario 2 Assumptions'!$B$279*('Scenario 2 Assumptions'!$B$327*0.5)/20)</f>
        <v>3.3750000000000002E-4</v>
      </c>
      <c r="S784" s="52">
        <f>('Scenario 2 Assumptions'!$B$279*('Scenario 2 Assumptions'!$B$327*0.5)/20)</f>
        <v>3.3750000000000002E-4</v>
      </c>
      <c r="T784" s="52">
        <f>('Scenario 2 Assumptions'!$B$279*('Scenario 2 Assumptions'!$B$327*0.5)/20)</f>
        <v>3.3750000000000002E-4</v>
      </c>
      <c r="U784" s="52">
        <f>('Scenario 2 Assumptions'!$B$279*('Scenario 2 Assumptions'!$B$327*0.5)/20)</f>
        <v>3.3750000000000002E-4</v>
      </c>
      <c r="V784" s="180">
        <f t="shared" ref="V784:V785" si="1400">SUM(B784:U784)</f>
        <v>6.7500000000000017E-3</v>
      </c>
      <c r="W784" s="53">
        <f t="shared" ref="W784:W785" si="1401">V784/20</f>
        <v>3.3750000000000007E-4</v>
      </c>
    </row>
    <row r="785" spans="1:23" ht="13.5" customHeight="1">
      <c r="A785" s="49" t="s">
        <v>664</v>
      </c>
      <c r="B785" s="34">
        <f>SUM(B783:B784)</f>
        <v>3.3750000000000002E-4</v>
      </c>
      <c r="C785" s="34">
        <f t="shared" ref="C785" si="1402">SUM(C783:C784)</f>
        <v>3.3750000000000002E-4</v>
      </c>
      <c r="D785" s="34">
        <f t="shared" ref="D785" si="1403">SUM(D783:D784)</f>
        <v>3.3750000000000002E-4</v>
      </c>
      <c r="E785" s="34">
        <f t="shared" ref="E785" si="1404">SUM(E783:E784)</f>
        <v>3.3750000000000002E-4</v>
      </c>
      <c r="F785" s="34">
        <f t="shared" ref="F785" si="1405">SUM(F783:F784)</f>
        <v>3.3750000000000002E-4</v>
      </c>
      <c r="G785" s="34">
        <f t="shared" ref="G785" si="1406">SUM(G783:G784)</f>
        <v>3.3750000000000002E-4</v>
      </c>
      <c r="H785" s="34">
        <f t="shared" ref="H785" si="1407">SUM(H783:H784)</f>
        <v>3.3750000000000002E-4</v>
      </c>
      <c r="I785" s="34">
        <f t="shared" ref="I785" si="1408">SUM(I783:I784)</f>
        <v>3.3750000000000002E-4</v>
      </c>
      <c r="J785" s="34">
        <f t="shared" ref="J785" si="1409">SUM(J783:J784)</f>
        <v>3.3750000000000002E-4</v>
      </c>
      <c r="K785" s="34">
        <f t="shared" ref="K785" si="1410">SUM(K783:K784)</f>
        <v>3.3750000000000002E-4</v>
      </c>
      <c r="L785" s="34">
        <f t="shared" ref="L785" si="1411">SUM(L783:L784)</f>
        <v>3.3750000000000002E-4</v>
      </c>
      <c r="M785" s="34">
        <f t="shared" ref="M785" si="1412">SUM(M783:M784)</f>
        <v>3.3750000000000002E-4</v>
      </c>
      <c r="N785" s="34">
        <f t="shared" ref="N785" si="1413">SUM(N783:N784)</f>
        <v>3.3750000000000002E-4</v>
      </c>
      <c r="O785" s="34">
        <f t="shared" ref="O785" si="1414">SUM(O783:O784)</f>
        <v>3.3750000000000002E-4</v>
      </c>
      <c r="P785" s="34">
        <f t="shared" ref="P785" si="1415">SUM(P783:P784)</f>
        <v>3.3750000000000002E-4</v>
      </c>
      <c r="Q785" s="34">
        <f t="shared" ref="Q785" si="1416">SUM(Q783:Q784)</f>
        <v>3.3750000000000002E-4</v>
      </c>
      <c r="R785" s="34">
        <f t="shared" ref="R785" si="1417">SUM(R783:R784)</f>
        <v>3.3750000000000002E-4</v>
      </c>
      <c r="S785" s="34">
        <f t="shared" ref="S785" si="1418">SUM(S783:S784)</f>
        <v>3.3750000000000002E-4</v>
      </c>
      <c r="T785" s="34">
        <f t="shared" ref="T785" si="1419">SUM(T783:T784)</f>
        <v>3.3750000000000002E-4</v>
      </c>
      <c r="U785" s="34">
        <f t="shared" ref="U785" si="1420">SUM(U783:U784)</f>
        <v>3.3750000000000002E-4</v>
      </c>
      <c r="V785" s="180">
        <f t="shared" si="1400"/>
        <v>6.7500000000000017E-3</v>
      </c>
      <c r="W785" s="53">
        <f t="shared" si="1401"/>
        <v>3.3750000000000007E-4</v>
      </c>
    </row>
    <row r="786" spans="1:23" s="81" customFormat="1">
      <c r="A786" s="134" t="s">
        <v>123</v>
      </c>
      <c r="B786" s="52">
        <v>0.96618357487922713</v>
      </c>
      <c r="C786" s="52">
        <v>0.93351070036640305</v>
      </c>
      <c r="D786" s="52">
        <v>0.90194270566802237</v>
      </c>
      <c r="E786" s="52">
        <v>0.87144222769857238</v>
      </c>
      <c r="F786" s="52">
        <v>0.84197316685852419</v>
      </c>
      <c r="G786" s="52">
        <v>0.81350064430775282</v>
      </c>
      <c r="H786" s="52">
        <v>0.78599096068381913</v>
      </c>
      <c r="I786" s="52">
        <v>0.75941155621625056</v>
      </c>
      <c r="J786" s="52">
        <v>0.73373097218961414</v>
      </c>
      <c r="K786" s="52">
        <v>0.70891881370977217</v>
      </c>
      <c r="L786" s="52">
        <v>0.68494571372924851</v>
      </c>
      <c r="M786" s="52">
        <v>0.66178329828912896</v>
      </c>
      <c r="N786" s="52">
        <v>0.63940415293635666</v>
      </c>
      <c r="O786" s="52">
        <v>0.61778179027667302</v>
      </c>
      <c r="P786" s="52">
        <v>0.59689061862480497</v>
      </c>
      <c r="Q786" s="52">
        <v>0.57670591171478747</v>
      </c>
      <c r="R786" s="52">
        <v>0.55720377943457733</v>
      </c>
      <c r="S786" s="52">
        <v>0.53836113955031628</v>
      </c>
      <c r="T786" s="52">
        <v>0.52015569038677911</v>
      </c>
      <c r="U786" s="52">
        <v>0.50256588443167061</v>
      </c>
      <c r="V786" s="180"/>
      <c r="W786" s="133"/>
    </row>
    <row r="787" spans="1:23" s="81" customFormat="1">
      <c r="A787" s="50" t="s">
        <v>1069</v>
      </c>
      <c r="B787" s="34">
        <f t="shared" ref="B787:U787" si="1421">B786*B785</f>
        <v>3.2608695652173916E-4</v>
      </c>
      <c r="C787" s="34">
        <f t="shared" si="1421"/>
        <v>3.1505986137366106E-4</v>
      </c>
      <c r="D787" s="34">
        <f t="shared" si="1421"/>
        <v>3.0440566316295754E-4</v>
      </c>
      <c r="E787" s="34">
        <f t="shared" si="1421"/>
        <v>2.9411175184826822E-4</v>
      </c>
      <c r="F787" s="34">
        <f t="shared" si="1421"/>
        <v>2.8416594381475195E-4</v>
      </c>
      <c r="G787" s="34">
        <f t="shared" si="1421"/>
        <v>2.745564674538666E-4</v>
      </c>
      <c r="H787" s="34">
        <f t="shared" si="1421"/>
        <v>2.6527194923078894E-4</v>
      </c>
      <c r="I787" s="34">
        <f t="shared" si="1421"/>
        <v>2.5630140022298459E-4</v>
      </c>
      <c r="J787" s="34">
        <f t="shared" si="1421"/>
        <v>2.476342031139948E-4</v>
      </c>
      <c r="K787" s="34">
        <f t="shared" si="1421"/>
        <v>2.3926009962704813E-4</v>
      </c>
      <c r="L787" s="34">
        <f t="shared" si="1421"/>
        <v>2.3116917838362139E-4</v>
      </c>
      <c r="M787" s="34">
        <f t="shared" si="1421"/>
        <v>2.2335186317258104E-4</v>
      </c>
      <c r="N787" s="34">
        <f t="shared" si="1421"/>
        <v>2.1579890161602038E-4</v>
      </c>
      <c r="O787" s="34">
        <f t="shared" si="1421"/>
        <v>2.0850135421837717E-4</v>
      </c>
      <c r="P787" s="34">
        <f t="shared" si="1421"/>
        <v>2.0145058378587169E-4</v>
      </c>
      <c r="Q787" s="34">
        <f t="shared" si="1421"/>
        <v>1.9463824520374079E-4</v>
      </c>
      <c r="R787" s="34">
        <f t="shared" si="1421"/>
        <v>1.8805627555916986E-4</v>
      </c>
      <c r="S787" s="34">
        <f t="shared" si="1421"/>
        <v>1.8169688459823176E-4</v>
      </c>
      <c r="T787" s="34">
        <f t="shared" si="1421"/>
        <v>1.7555254550553795E-4</v>
      </c>
      <c r="U787" s="34">
        <f t="shared" si="1421"/>
        <v>1.6961598599568884E-4</v>
      </c>
      <c r="V787" s="182">
        <f>SUM(B787:U787)</f>
        <v>4.7966861144089021E-3</v>
      </c>
      <c r="W787" s="35"/>
    </row>
    <row r="788" spans="1:23">
      <c r="A788" s="49"/>
      <c r="B788" s="34"/>
      <c r="C788" s="34"/>
      <c r="D788" s="34"/>
      <c r="E788" s="34"/>
      <c r="F788" s="34"/>
      <c r="G788" s="34"/>
      <c r="H788" s="34"/>
      <c r="I788" s="34"/>
      <c r="J788" s="34"/>
      <c r="K788" s="34"/>
      <c r="L788" s="34"/>
      <c r="M788" s="34"/>
      <c r="N788" s="34"/>
      <c r="O788" s="34"/>
      <c r="P788" s="34"/>
      <c r="Q788" s="34"/>
      <c r="R788" s="34"/>
      <c r="S788" s="34"/>
      <c r="T788" s="34"/>
      <c r="U788" s="34"/>
      <c r="V788" s="182"/>
      <c r="W788" s="35"/>
    </row>
    <row r="789" spans="1:23">
      <c r="A789" s="131" t="s">
        <v>1141</v>
      </c>
      <c r="B789" s="100"/>
      <c r="C789" s="100"/>
      <c r="D789" s="100"/>
      <c r="E789" s="100"/>
      <c r="F789" s="100"/>
      <c r="G789" s="100"/>
      <c r="H789" s="100"/>
      <c r="I789" s="100"/>
      <c r="J789" s="100"/>
      <c r="K789" s="100"/>
      <c r="L789" s="100"/>
      <c r="M789" s="100"/>
      <c r="N789" s="100"/>
      <c r="O789" s="100"/>
      <c r="P789" s="100"/>
      <c r="Q789" s="100"/>
      <c r="R789" s="100"/>
      <c r="S789" s="100"/>
      <c r="T789" s="100"/>
      <c r="U789" s="100"/>
      <c r="V789" s="179"/>
      <c r="W789" s="140"/>
    </row>
    <row r="790" spans="1:23">
      <c r="A790" s="200" t="s">
        <v>679</v>
      </c>
      <c r="B790" s="52">
        <v>0</v>
      </c>
      <c r="C790" s="52">
        <v>0</v>
      </c>
      <c r="D790" s="52">
        <v>0</v>
      </c>
      <c r="E790" s="52">
        <v>0</v>
      </c>
      <c r="F790" s="52">
        <v>0</v>
      </c>
      <c r="G790" s="52">
        <v>0</v>
      </c>
      <c r="H790" s="52">
        <v>0</v>
      </c>
      <c r="I790" s="52">
        <v>0</v>
      </c>
      <c r="J790" s="52">
        <v>0</v>
      </c>
      <c r="K790" s="52">
        <v>0</v>
      </c>
      <c r="L790" s="52">
        <v>0</v>
      </c>
      <c r="M790" s="52">
        <v>0</v>
      </c>
      <c r="N790" s="52">
        <v>0</v>
      </c>
      <c r="O790" s="52">
        <v>0</v>
      </c>
      <c r="P790" s="52">
        <v>0</v>
      </c>
      <c r="Q790" s="52">
        <v>0</v>
      </c>
      <c r="R790" s="52">
        <v>0</v>
      </c>
      <c r="S790" s="52">
        <v>0</v>
      </c>
      <c r="T790" s="52">
        <v>0</v>
      </c>
      <c r="U790" s="52">
        <v>0</v>
      </c>
      <c r="V790" s="180">
        <f>SUM(B790:U790)</f>
        <v>0</v>
      </c>
      <c r="W790" s="53">
        <f>V790/20</f>
        <v>0</v>
      </c>
    </row>
    <row r="791" spans="1:23" s="3" customFormat="1">
      <c r="A791" s="200" t="s">
        <v>680</v>
      </c>
      <c r="B791" s="52">
        <f>('Scenario 2 Assumptions'!$B$279*('Scenario 2 Assumptions'!$B$328*0.5)/20)</f>
        <v>3.3750000000000002E-4</v>
      </c>
      <c r="C791" s="52">
        <f>('Scenario 2 Assumptions'!$B$279*('Scenario 2 Assumptions'!$B$328*0.5)/20)</f>
        <v>3.3750000000000002E-4</v>
      </c>
      <c r="D791" s="52">
        <f>('Scenario 2 Assumptions'!$B$279*('Scenario 2 Assumptions'!$B$328*0.5)/20)</f>
        <v>3.3750000000000002E-4</v>
      </c>
      <c r="E791" s="52">
        <f>('Scenario 2 Assumptions'!$B$279*('Scenario 2 Assumptions'!$B$328*0.5)/20)</f>
        <v>3.3750000000000002E-4</v>
      </c>
      <c r="F791" s="52">
        <f>('Scenario 2 Assumptions'!$B$279*('Scenario 2 Assumptions'!$B$328*0.5)/20)</f>
        <v>3.3750000000000002E-4</v>
      </c>
      <c r="G791" s="52">
        <f>('Scenario 2 Assumptions'!$B$279*('Scenario 2 Assumptions'!$B$328*0.5)/20)</f>
        <v>3.3750000000000002E-4</v>
      </c>
      <c r="H791" s="52">
        <f>('Scenario 2 Assumptions'!$B$279*('Scenario 2 Assumptions'!$B$328*0.5)/20)</f>
        <v>3.3750000000000002E-4</v>
      </c>
      <c r="I791" s="52">
        <f>('Scenario 2 Assumptions'!$B$279*('Scenario 2 Assumptions'!$B$328*0.5)/20)</f>
        <v>3.3750000000000002E-4</v>
      </c>
      <c r="J791" s="52">
        <f>('Scenario 2 Assumptions'!$B$279*('Scenario 2 Assumptions'!$B$328*0.5)/20)</f>
        <v>3.3750000000000002E-4</v>
      </c>
      <c r="K791" s="52">
        <f>('Scenario 2 Assumptions'!$B$279*('Scenario 2 Assumptions'!$B$328*0.5)/20)</f>
        <v>3.3750000000000002E-4</v>
      </c>
      <c r="L791" s="52">
        <f>('Scenario 2 Assumptions'!$B$279*('Scenario 2 Assumptions'!$B$328*0.5)/20)</f>
        <v>3.3750000000000002E-4</v>
      </c>
      <c r="M791" s="52">
        <f>('Scenario 2 Assumptions'!$B$279*('Scenario 2 Assumptions'!$B$328*0.5)/20)</f>
        <v>3.3750000000000002E-4</v>
      </c>
      <c r="N791" s="52">
        <f>('Scenario 2 Assumptions'!$B$279*('Scenario 2 Assumptions'!$B$328*0.5)/20)</f>
        <v>3.3750000000000002E-4</v>
      </c>
      <c r="O791" s="52">
        <f>('Scenario 2 Assumptions'!$B$279*('Scenario 2 Assumptions'!$B$328*0.5)/20)</f>
        <v>3.3750000000000002E-4</v>
      </c>
      <c r="P791" s="52">
        <f>('Scenario 2 Assumptions'!$B$279*('Scenario 2 Assumptions'!$B$328*0.5)/20)</f>
        <v>3.3750000000000002E-4</v>
      </c>
      <c r="Q791" s="52">
        <f>('Scenario 2 Assumptions'!$B$279*('Scenario 2 Assumptions'!$B$328*0.5)/20)</f>
        <v>3.3750000000000002E-4</v>
      </c>
      <c r="R791" s="52">
        <f>('Scenario 2 Assumptions'!$B$279*('Scenario 2 Assumptions'!$B$328*0.5)/20)</f>
        <v>3.3750000000000002E-4</v>
      </c>
      <c r="S791" s="52">
        <f>('Scenario 2 Assumptions'!$B$279*('Scenario 2 Assumptions'!$B$328*0.5)/20)</f>
        <v>3.3750000000000002E-4</v>
      </c>
      <c r="T791" s="52">
        <f>('Scenario 2 Assumptions'!$B$279*('Scenario 2 Assumptions'!$B$328*0.5)/20)</f>
        <v>3.3750000000000002E-4</v>
      </c>
      <c r="U791" s="52">
        <f>('Scenario 2 Assumptions'!$B$279*('Scenario 2 Assumptions'!$B$328*0.5)/20)</f>
        <v>3.3750000000000002E-4</v>
      </c>
      <c r="V791" s="180">
        <f t="shared" ref="V791:V792" si="1422">SUM(B791:U791)</f>
        <v>6.7500000000000017E-3</v>
      </c>
      <c r="W791" s="53">
        <f t="shared" ref="W791:W792" si="1423">V791/20</f>
        <v>3.3750000000000007E-4</v>
      </c>
    </row>
    <row r="792" spans="1:23" ht="13.5" customHeight="1">
      <c r="A792" s="49" t="s">
        <v>664</v>
      </c>
      <c r="B792" s="34">
        <f>SUM(B790:B791)</f>
        <v>3.3750000000000002E-4</v>
      </c>
      <c r="C792" s="34">
        <f t="shared" ref="C792" si="1424">SUM(C790:C791)</f>
        <v>3.3750000000000002E-4</v>
      </c>
      <c r="D792" s="34">
        <f t="shared" ref="D792" si="1425">SUM(D790:D791)</f>
        <v>3.3750000000000002E-4</v>
      </c>
      <c r="E792" s="34">
        <f t="shared" ref="E792" si="1426">SUM(E790:E791)</f>
        <v>3.3750000000000002E-4</v>
      </c>
      <c r="F792" s="34">
        <f t="shared" ref="F792" si="1427">SUM(F790:F791)</f>
        <v>3.3750000000000002E-4</v>
      </c>
      <c r="G792" s="34">
        <f t="shared" ref="G792" si="1428">SUM(G790:G791)</f>
        <v>3.3750000000000002E-4</v>
      </c>
      <c r="H792" s="34">
        <f t="shared" ref="H792" si="1429">SUM(H790:H791)</f>
        <v>3.3750000000000002E-4</v>
      </c>
      <c r="I792" s="34">
        <f t="shared" ref="I792" si="1430">SUM(I790:I791)</f>
        <v>3.3750000000000002E-4</v>
      </c>
      <c r="J792" s="34">
        <f t="shared" ref="J792" si="1431">SUM(J790:J791)</f>
        <v>3.3750000000000002E-4</v>
      </c>
      <c r="K792" s="34">
        <f t="shared" ref="K792" si="1432">SUM(K790:K791)</f>
        <v>3.3750000000000002E-4</v>
      </c>
      <c r="L792" s="34">
        <f t="shared" ref="L792" si="1433">SUM(L790:L791)</f>
        <v>3.3750000000000002E-4</v>
      </c>
      <c r="M792" s="34">
        <f t="shared" ref="M792" si="1434">SUM(M790:M791)</f>
        <v>3.3750000000000002E-4</v>
      </c>
      <c r="N792" s="34">
        <f t="shared" ref="N792" si="1435">SUM(N790:N791)</f>
        <v>3.3750000000000002E-4</v>
      </c>
      <c r="O792" s="34">
        <f t="shared" ref="O792" si="1436">SUM(O790:O791)</f>
        <v>3.3750000000000002E-4</v>
      </c>
      <c r="P792" s="34">
        <f t="shared" ref="P792" si="1437">SUM(P790:P791)</f>
        <v>3.3750000000000002E-4</v>
      </c>
      <c r="Q792" s="34">
        <f t="shared" ref="Q792" si="1438">SUM(Q790:Q791)</f>
        <v>3.3750000000000002E-4</v>
      </c>
      <c r="R792" s="34">
        <f t="shared" ref="R792" si="1439">SUM(R790:R791)</f>
        <v>3.3750000000000002E-4</v>
      </c>
      <c r="S792" s="34">
        <f t="shared" ref="S792" si="1440">SUM(S790:S791)</f>
        <v>3.3750000000000002E-4</v>
      </c>
      <c r="T792" s="34">
        <f t="shared" ref="T792" si="1441">SUM(T790:T791)</f>
        <v>3.3750000000000002E-4</v>
      </c>
      <c r="U792" s="34">
        <f t="shared" ref="U792" si="1442">SUM(U790:U791)</f>
        <v>3.3750000000000002E-4</v>
      </c>
      <c r="V792" s="180">
        <f t="shared" si="1422"/>
        <v>6.7500000000000017E-3</v>
      </c>
      <c r="W792" s="53">
        <f t="shared" si="1423"/>
        <v>3.3750000000000007E-4</v>
      </c>
    </row>
    <row r="793" spans="1:23" s="81" customFormat="1">
      <c r="A793" s="134" t="s">
        <v>123</v>
      </c>
      <c r="B793" s="52">
        <v>0.96618357487922713</v>
      </c>
      <c r="C793" s="52">
        <v>0.93351070036640305</v>
      </c>
      <c r="D793" s="52">
        <v>0.90194270566802237</v>
      </c>
      <c r="E793" s="52">
        <v>0.87144222769857238</v>
      </c>
      <c r="F793" s="52">
        <v>0.84197316685852419</v>
      </c>
      <c r="G793" s="52">
        <v>0.81350064430775282</v>
      </c>
      <c r="H793" s="52">
        <v>0.78599096068381913</v>
      </c>
      <c r="I793" s="52">
        <v>0.75941155621625056</v>
      </c>
      <c r="J793" s="52">
        <v>0.73373097218961414</v>
      </c>
      <c r="K793" s="52">
        <v>0.70891881370977217</v>
      </c>
      <c r="L793" s="52">
        <v>0.68494571372924851</v>
      </c>
      <c r="M793" s="52">
        <v>0.66178329828912896</v>
      </c>
      <c r="N793" s="52">
        <v>0.63940415293635666</v>
      </c>
      <c r="O793" s="52">
        <v>0.61778179027667302</v>
      </c>
      <c r="P793" s="52">
        <v>0.59689061862480497</v>
      </c>
      <c r="Q793" s="52">
        <v>0.57670591171478747</v>
      </c>
      <c r="R793" s="52">
        <v>0.55720377943457733</v>
      </c>
      <c r="S793" s="52">
        <v>0.53836113955031628</v>
      </c>
      <c r="T793" s="52">
        <v>0.52015569038677911</v>
      </c>
      <c r="U793" s="52">
        <v>0.50256588443167061</v>
      </c>
      <c r="V793" s="180"/>
      <c r="W793" s="133"/>
    </row>
    <row r="794" spans="1:23" s="81" customFormat="1">
      <c r="A794" s="50" t="s">
        <v>1069</v>
      </c>
      <c r="B794" s="34">
        <f t="shared" ref="B794:U794" si="1443">B793*B792</f>
        <v>3.2608695652173916E-4</v>
      </c>
      <c r="C794" s="34">
        <f t="shared" si="1443"/>
        <v>3.1505986137366106E-4</v>
      </c>
      <c r="D794" s="34">
        <f t="shared" si="1443"/>
        <v>3.0440566316295754E-4</v>
      </c>
      <c r="E794" s="34">
        <f t="shared" si="1443"/>
        <v>2.9411175184826822E-4</v>
      </c>
      <c r="F794" s="34">
        <f t="shared" si="1443"/>
        <v>2.8416594381475195E-4</v>
      </c>
      <c r="G794" s="34">
        <f t="shared" si="1443"/>
        <v>2.745564674538666E-4</v>
      </c>
      <c r="H794" s="34">
        <f t="shared" si="1443"/>
        <v>2.6527194923078894E-4</v>
      </c>
      <c r="I794" s="34">
        <f t="shared" si="1443"/>
        <v>2.5630140022298459E-4</v>
      </c>
      <c r="J794" s="34">
        <f t="shared" si="1443"/>
        <v>2.476342031139948E-4</v>
      </c>
      <c r="K794" s="34">
        <f t="shared" si="1443"/>
        <v>2.3926009962704813E-4</v>
      </c>
      <c r="L794" s="34">
        <f t="shared" si="1443"/>
        <v>2.3116917838362139E-4</v>
      </c>
      <c r="M794" s="34">
        <f t="shared" si="1443"/>
        <v>2.2335186317258104E-4</v>
      </c>
      <c r="N794" s="34">
        <f t="shared" si="1443"/>
        <v>2.1579890161602038E-4</v>
      </c>
      <c r="O794" s="34">
        <f t="shared" si="1443"/>
        <v>2.0850135421837717E-4</v>
      </c>
      <c r="P794" s="34">
        <f t="shared" si="1443"/>
        <v>2.0145058378587169E-4</v>
      </c>
      <c r="Q794" s="34">
        <f t="shared" si="1443"/>
        <v>1.9463824520374079E-4</v>
      </c>
      <c r="R794" s="34">
        <f t="shared" si="1443"/>
        <v>1.8805627555916986E-4</v>
      </c>
      <c r="S794" s="34">
        <f t="shared" si="1443"/>
        <v>1.8169688459823176E-4</v>
      </c>
      <c r="T794" s="34">
        <f t="shared" si="1443"/>
        <v>1.7555254550553795E-4</v>
      </c>
      <c r="U794" s="34">
        <f t="shared" si="1443"/>
        <v>1.6961598599568884E-4</v>
      </c>
      <c r="V794" s="182">
        <f>SUM(B794:U794)</f>
        <v>4.7966861144089021E-3</v>
      </c>
      <c r="W794" s="35"/>
    </row>
    <row r="795" spans="1:23">
      <c r="A795" s="49"/>
      <c r="B795" s="34"/>
      <c r="C795" s="34"/>
      <c r="D795" s="34"/>
      <c r="E795" s="34"/>
      <c r="F795" s="34"/>
      <c r="G795" s="34"/>
      <c r="H795" s="34"/>
      <c r="I795" s="34"/>
      <c r="J795" s="34"/>
      <c r="K795" s="34"/>
      <c r="L795" s="34"/>
      <c r="M795" s="34"/>
      <c r="N795" s="34"/>
      <c r="O795" s="34"/>
      <c r="P795" s="34"/>
      <c r="Q795" s="34"/>
      <c r="R795" s="34"/>
      <c r="S795" s="34"/>
      <c r="T795" s="34"/>
      <c r="U795" s="34"/>
      <c r="V795" s="182"/>
      <c r="W795" s="35"/>
    </row>
    <row r="796" spans="1:23">
      <c r="A796" s="131" t="s">
        <v>1142</v>
      </c>
      <c r="B796" s="100"/>
      <c r="C796" s="100"/>
      <c r="D796" s="100"/>
      <c r="E796" s="100"/>
      <c r="F796" s="100"/>
      <c r="G796" s="100"/>
      <c r="H796" s="100"/>
      <c r="I796" s="100"/>
      <c r="J796" s="100"/>
      <c r="K796" s="100"/>
      <c r="L796" s="100"/>
      <c r="M796" s="100"/>
      <c r="N796" s="100"/>
      <c r="O796" s="100"/>
      <c r="P796" s="100"/>
      <c r="Q796" s="100"/>
      <c r="R796" s="100"/>
      <c r="S796" s="100"/>
      <c r="T796" s="100"/>
      <c r="U796" s="100"/>
      <c r="V796" s="179"/>
      <c r="W796" s="140"/>
    </row>
    <row r="797" spans="1:23">
      <c r="A797" s="200" t="s">
        <v>679</v>
      </c>
      <c r="B797" s="52">
        <v>0</v>
      </c>
      <c r="C797" s="52">
        <v>0</v>
      </c>
      <c r="D797" s="52">
        <v>0</v>
      </c>
      <c r="E797" s="52">
        <v>0</v>
      </c>
      <c r="F797" s="52">
        <v>0</v>
      </c>
      <c r="G797" s="52">
        <v>0</v>
      </c>
      <c r="H797" s="52">
        <v>0</v>
      </c>
      <c r="I797" s="52">
        <v>0</v>
      </c>
      <c r="J797" s="52">
        <v>0</v>
      </c>
      <c r="K797" s="52">
        <v>0</v>
      </c>
      <c r="L797" s="52">
        <v>0</v>
      </c>
      <c r="M797" s="52">
        <v>0</v>
      </c>
      <c r="N797" s="52">
        <v>0</v>
      </c>
      <c r="O797" s="52">
        <v>0</v>
      </c>
      <c r="P797" s="52">
        <v>0</v>
      </c>
      <c r="Q797" s="52">
        <v>0</v>
      </c>
      <c r="R797" s="52">
        <v>0</v>
      </c>
      <c r="S797" s="52">
        <v>0</v>
      </c>
      <c r="T797" s="52">
        <v>0</v>
      </c>
      <c r="U797" s="52">
        <v>0</v>
      </c>
      <c r="V797" s="180">
        <f>SUM(B797:U797)</f>
        <v>0</v>
      </c>
      <c r="W797" s="53">
        <f>V797/20</f>
        <v>0</v>
      </c>
    </row>
    <row r="798" spans="1:23" s="3" customFormat="1">
      <c r="A798" s="200" t="s">
        <v>680</v>
      </c>
      <c r="B798" s="52">
        <f>('Scenario 2 Assumptions'!$B$279*('Scenario 2 Assumptions'!$B$329*0.5)/20)</f>
        <v>1.6875000000000001E-4</v>
      </c>
      <c r="C798" s="52">
        <f>('Scenario 2 Assumptions'!$B$279*('Scenario 2 Assumptions'!$B$329*0.5)/20)</f>
        <v>1.6875000000000001E-4</v>
      </c>
      <c r="D798" s="52">
        <f>('Scenario 2 Assumptions'!$B$279*('Scenario 2 Assumptions'!$B$329*0.5)/20)</f>
        <v>1.6875000000000001E-4</v>
      </c>
      <c r="E798" s="52">
        <f>('Scenario 2 Assumptions'!$B$279*('Scenario 2 Assumptions'!$B$329*0.5)/20)</f>
        <v>1.6875000000000001E-4</v>
      </c>
      <c r="F798" s="52">
        <f>('Scenario 2 Assumptions'!$B$279*('Scenario 2 Assumptions'!$B$329*0.5)/20)</f>
        <v>1.6875000000000001E-4</v>
      </c>
      <c r="G798" s="52">
        <f>('Scenario 2 Assumptions'!$B$279*('Scenario 2 Assumptions'!$B$329*0.5)/20)</f>
        <v>1.6875000000000001E-4</v>
      </c>
      <c r="H798" s="52">
        <f>('Scenario 2 Assumptions'!$B$279*('Scenario 2 Assumptions'!$B$329*0.5)/20)</f>
        <v>1.6875000000000001E-4</v>
      </c>
      <c r="I798" s="52">
        <f>('Scenario 2 Assumptions'!$B$279*('Scenario 2 Assumptions'!$B$329*0.5)/20)</f>
        <v>1.6875000000000001E-4</v>
      </c>
      <c r="J798" s="52">
        <f>('Scenario 2 Assumptions'!$B$279*('Scenario 2 Assumptions'!$B$329*0.5)/20)</f>
        <v>1.6875000000000001E-4</v>
      </c>
      <c r="K798" s="52">
        <f>('Scenario 2 Assumptions'!$B$279*('Scenario 2 Assumptions'!$B$329*0.5)/20)</f>
        <v>1.6875000000000001E-4</v>
      </c>
      <c r="L798" s="52">
        <f>('Scenario 2 Assumptions'!$B$279*('Scenario 2 Assumptions'!$B$329*0.5)/20)</f>
        <v>1.6875000000000001E-4</v>
      </c>
      <c r="M798" s="52">
        <f>('Scenario 2 Assumptions'!$B$279*('Scenario 2 Assumptions'!$B$329*0.5)/20)</f>
        <v>1.6875000000000001E-4</v>
      </c>
      <c r="N798" s="52">
        <f>('Scenario 2 Assumptions'!$B$279*('Scenario 2 Assumptions'!$B$329*0.5)/20)</f>
        <v>1.6875000000000001E-4</v>
      </c>
      <c r="O798" s="52">
        <f>('Scenario 2 Assumptions'!$B$279*('Scenario 2 Assumptions'!$B$329*0.5)/20)</f>
        <v>1.6875000000000001E-4</v>
      </c>
      <c r="P798" s="52">
        <f>('Scenario 2 Assumptions'!$B$279*('Scenario 2 Assumptions'!$B$329*0.5)/20)</f>
        <v>1.6875000000000001E-4</v>
      </c>
      <c r="Q798" s="52">
        <f>('Scenario 2 Assumptions'!$B$279*('Scenario 2 Assumptions'!$B$329*0.5)/20)</f>
        <v>1.6875000000000001E-4</v>
      </c>
      <c r="R798" s="52">
        <f>('Scenario 2 Assumptions'!$B$279*('Scenario 2 Assumptions'!$B$329*0.5)/20)</f>
        <v>1.6875000000000001E-4</v>
      </c>
      <c r="S798" s="52">
        <f>('Scenario 2 Assumptions'!$B$279*('Scenario 2 Assumptions'!$B$329*0.5)/20)</f>
        <v>1.6875000000000001E-4</v>
      </c>
      <c r="T798" s="52">
        <f>('Scenario 2 Assumptions'!$B$279*('Scenario 2 Assumptions'!$B$329*0.5)/20)</f>
        <v>1.6875000000000001E-4</v>
      </c>
      <c r="U798" s="52">
        <f>('Scenario 2 Assumptions'!$B$279*('Scenario 2 Assumptions'!$B$329*0.5)/20)</f>
        <v>1.6875000000000001E-4</v>
      </c>
      <c r="V798" s="180">
        <f t="shared" ref="V798:V799" si="1444">SUM(B798:U798)</f>
        <v>3.3750000000000008E-3</v>
      </c>
      <c r="W798" s="53">
        <f t="shared" ref="W798:W799" si="1445">V798/20</f>
        <v>1.6875000000000004E-4</v>
      </c>
    </row>
    <row r="799" spans="1:23" ht="13.5" customHeight="1">
      <c r="A799" s="49" t="s">
        <v>664</v>
      </c>
      <c r="B799" s="34">
        <f>SUM(B797:B798)</f>
        <v>1.6875000000000001E-4</v>
      </c>
      <c r="C799" s="34">
        <f t="shared" ref="C799" si="1446">SUM(C797:C798)</f>
        <v>1.6875000000000001E-4</v>
      </c>
      <c r="D799" s="34">
        <f t="shared" ref="D799" si="1447">SUM(D797:D798)</f>
        <v>1.6875000000000001E-4</v>
      </c>
      <c r="E799" s="34">
        <f t="shared" ref="E799" si="1448">SUM(E797:E798)</f>
        <v>1.6875000000000001E-4</v>
      </c>
      <c r="F799" s="34">
        <f t="shared" ref="F799" si="1449">SUM(F797:F798)</f>
        <v>1.6875000000000001E-4</v>
      </c>
      <c r="G799" s="34">
        <f t="shared" ref="G799" si="1450">SUM(G797:G798)</f>
        <v>1.6875000000000001E-4</v>
      </c>
      <c r="H799" s="34">
        <f t="shared" ref="H799" si="1451">SUM(H797:H798)</f>
        <v>1.6875000000000001E-4</v>
      </c>
      <c r="I799" s="34">
        <f t="shared" ref="I799" si="1452">SUM(I797:I798)</f>
        <v>1.6875000000000001E-4</v>
      </c>
      <c r="J799" s="34">
        <f t="shared" ref="J799" si="1453">SUM(J797:J798)</f>
        <v>1.6875000000000001E-4</v>
      </c>
      <c r="K799" s="34">
        <f t="shared" ref="K799" si="1454">SUM(K797:K798)</f>
        <v>1.6875000000000001E-4</v>
      </c>
      <c r="L799" s="34">
        <f t="shared" ref="L799" si="1455">SUM(L797:L798)</f>
        <v>1.6875000000000001E-4</v>
      </c>
      <c r="M799" s="34">
        <f t="shared" ref="M799" si="1456">SUM(M797:M798)</f>
        <v>1.6875000000000001E-4</v>
      </c>
      <c r="N799" s="34">
        <f t="shared" ref="N799" si="1457">SUM(N797:N798)</f>
        <v>1.6875000000000001E-4</v>
      </c>
      <c r="O799" s="34">
        <f t="shared" ref="O799" si="1458">SUM(O797:O798)</f>
        <v>1.6875000000000001E-4</v>
      </c>
      <c r="P799" s="34">
        <f t="shared" ref="P799" si="1459">SUM(P797:P798)</f>
        <v>1.6875000000000001E-4</v>
      </c>
      <c r="Q799" s="34">
        <f t="shared" ref="Q799" si="1460">SUM(Q797:Q798)</f>
        <v>1.6875000000000001E-4</v>
      </c>
      <c r="R799" s="34">
        <f t="shared" ref="R799" si="1461">SUM(R797:R798)</f>
        <v>1.6875000000000001E-4</v>
      </c>
      <c r="S799" s="34">
        <f t="shared" ref="S799" si="1462">SUM(S797:S798)</f>
        <v>1.6875000000000001E-4</v>
      </c>
      <c r="T799" s="34">
        <f t="shared" ref="T799" si="1463">SUM(T797:T798)</f>
        <v>1.6875000000000001E-4</v>
      </c>
      <c r="U799" s="34">
        <f t="shared" ref="U799" si="1464">SUM(U797:U798)</f>
        <v>1.6875000000000001E-4</v>
      </c>
      <c r="V799" s="180">
        <f t="shared" si="1444"/>
        <v>3.3750000000000008E-3</v>
      </c>
      <c r="W799" s="53">
        <f t="shared" si="1445"/>
        <v>1.6875000000000004E-4</v>
      </c>
    </row>
    <row r="800" spans="1:23" s="81" customFormat="1">
      <c r="A800" s="134" t="s">
        <v>123</v>
      </c>
      <c r="B800" s="52">
        <v>0.96618357487922713</v>
      </c>
      <c r="C800" s="52">
        <v>0.93351070036640305</v>
      </c>
      <c r="D800" s="52">
        <v>0.90194270566802237</v>
      </c>
      <c r="E800" s="52">
        <v>0.87144222769857238</v>
      </c>
      <c r="F800" s="52">
        <v>0.84197316685852419</v>
      </c>
      <c r="G800" s="52">
        <v>0.81350064430775282</v>
      </c>
      <c r="H800" s="52">
        <v>0.78599096068381913</v>
      </c>
      <c r="I800" s="52">
        <v>0.75941155621625056</v>
      </c>
      <c r="J800" s="52">
        <v>0.73373097218961414</v>
      </c>
      <c r="K800" s="52">
        <v>0.70891881370977217</v>
      </c>
      <c r="L800" s="52">
        <v>0.68494571372924851</v>
      </c>
      <c r="M800" s="52">
        <v>0.66178329828912896</v>
      </c>
      <c r="N800" s="52">
        <v>0.63940415293635666</v>
      </c>
      <c r="O800" s="52">
        <v>0.61778179027667302</v>
      </c>
      <c r="P800" s="52">
        <v>0.59689061862480497</v>
      </c>
      <c r="Q800" s="52">
        <v>0.57670591171478747</v>
      </c>
      <c r="R800" s="52">
        <v>0.55720377943457733</v>
      </c>
      <c r="S800" s="52">
        <v>0.53836113955031628</v>
      </c>
      <c r="T800" s="52">
        <v>0.52015569038677911</v>
      </c>
      <c r="U800" s="52">
        <v>0.50256588443167061</v>
      </c>
      <c r="V800" s="180"/>
      <c r="W800" s="133"/>
    </row>
    <row r="801" spans="1:25" s="81" customFormat="1">
      <c r="A801" s="50" t="s">
        <v>1069</v>
      </c>
      <c r="B801" s="34">
        <f t="shared" ref="B801:U801" si="1465">B800*B799</f>
        <v>1.6304347826086958E-4</v>
      </c>
      <c r="C801" s="34">
        <f t="shared" si="1465"/>
        <v>1.5752993068683053E-4</v>
      </c>
      <c r="D801" s="34">
        <f t="shared" si="1465"/>
        <v>1.5220283158147877E-4</v>
      </c>
      <c r="E801" s="34">
        <f t="shared" si="1465"/>
        <v>1.4705587592413411E-4</v>
      </c>
      <c r="F801" s="34">
        <f t="shared" si="1465"/>
        <v>1.4208297190737598E-4</v>
      </c>
      <c r="G801" s="34">
        <f t="shared" si="1465"/>
        <v>1.372782337269333E-4</v>
      </c>
      <c r="H801" s="34">
        <f t="shared" si="1465"/>
        <v>1.3263597461539447E-4</v>
      </c>
      <c r="I801" s="34">
        <f t="shared" si="1465"/>
        <v>1.281507001114923E-4</v>
      </c>
      <c r="J801" s="34">
        <f t="shared" si="1465"/>
        <v>1.238171015569974E-4</v>
      </c>
      <c r="K801" s="34">
        <f t="shared" si="1465"/>
        <v>1.1963004981352407E-4</v>
      </c>
      <c r="L801" s="34">
        <f t="shared" si="1465"/>
        <v>1.1558458919181069E-4</v>
      </c>
      <c r="M801" s="34">
        <f t="shared" si="1465"/>
        <v>1.1167593158629052E-4</v>
      </c>
      <c r="N801" s="34">
        <f t="shared" si="1465"/>
        <v>1.0789945080801019E-4</v>
      </c>
      <c r="O801" s="34">
        <f t="shared" si="1465"/>
        <v>1.0425067710918858E-4</v>
      </c>
      <c r="P801" s="34">
        <f t="shared" si="1465"/>
        <v>1.0072529189293584E-4</v>
      </c>
      <c r="Q801" s="34">
        <f t="shared" si="1465"/>
        <v>9.7319122601870396E-5</v>
      </c>
      <c r="R801" s="34">
        <f t="shared" si="1465"/>
        <v>9.402813777958493E-5</v>
      </c>
      <c r="S801" s="34">
        <f t="shared" si="1465"/>
        <v>9.0848442299115879E-5</v>
      </c>
      <c r="T801" s="34">
        <f t="shared" si="1465"/>
        <v>8.7776272752768973E-5</v>
      </c>
      <c r="U801" s="34">
        <f t="shared" si="1465"/>
        <v>8.4807992997844422E-5</v>
      </c>
      <c r="V801" s="182">
        <f>SUM(B801:U801)</f>
        <v>2.3983430572044511E-3</v>
      </c>
      <c r="W801" s="35"/>
    </row>
    <row r="802" spans="1:25">
      <c r="A802" s="49"/>
      <c r="B802" s="34"/>
      <c r="C802" s="34"/>
      <c r="D802" s="34"/>
      <c r="E802" s="34"/>
      <c r="F802" s="34"/>
      <c r="G802" s="34"/>
      <c r="H802" s="34"/>
      <c r="I802" s="34"/>
      <c r="J802" s="34"/>
      <c r="K802" s="34"/>
      <c r="L802" s="34"/>
      <c r="M802" s="34"/>
      <c r="N802" s="34"/>
      <c r="O802" s="34"/>
      <c r="P802" s="34"/>
      <c r="Q802" s="34"/>
      <c r="R802" s="34"/>
      <c r="S802" s="34"/>
      <c r="T802" s="34"/>
      <c r="U802" s="34"/>
      <c r="V802" s="182"/>
      <c r="W802" s="35"/>
    </row>
    <row r="803" spans="1:25">
      <c r="A803" s="131" t="s">
        <v>1143</v>
      </c>
      <c r="B803" s="100"/>
      <c r="C803" s="100"/>
      <c r="D803" s="100"/>
      <c r="E803" s="100"/>
      <c r="F803" s="100"/>
      <c r="G803" s="100"/>
      <c r="H803" s="100"/>
      <c r="I803" s="100"/>
      <c r="J803" s="100"/>
      <c r="K803" s="100"/>
      <c r="L803" s="100"/>
      <c r="M803" s="100"/>
      <c r="N803" s="100"/>
      <c r="O803" s="100"/>
      <c r="P803" s="100"/>
      <c r="Q803" s="100"/>
      <c r="R803" s="100"/>
      <c r="S803" s="100"/>
      <c r="T803" s="100"/>
      <c r="U803" s="100"/>
      <c r="V803" s="179"/>
      <c r="W803" s="140"/>
    </row>
    <row r="804" spans="1:25">
      <c r="A804" s="200" t="s">
        <v>679</v>
      </c>
      <c r="B804" s="52">
        <v>0</v>
      </c>
      <c r="C804" s="52">
        <v>0</v>
      </c>
      <c r="D804" s="52">
        <v>0</v>
      </c>
      <c r="E804" s="52">
        <v>0</v>
      </c>
      <c r="F804" s="52">
        <v>0</v>
      </c>
      <c r="G804" s="52">
        <v>0</v>
      </c>
      <c r="H804" s="52">
        <v>0</v>
      </c>
      <c r="I804" s="52">
        <v>0</v>
      </c>
      <c r="J804" s="52">
        <v>0</v>
      </c>
      <c r="K804" s="52">
        <v>0</v>
      </c>
      <c r="L804" s="52">
        <v>0</v>
      </c>
      <c r="M804" s="52">
        <v>0</v>
      </c>
      <c r="N804" s="52">
        <v>0</v>
      </c>
      <c r="O804" s="52">
        <v>0</v>
      </c>
      <c r="P804" s="52">
        <v>0</v>
      </c>
      <c r="Q804" s="52">
        <v>0</v>
      </c>
      <c r="R804" s="52">
        <v>0</v>
      </c>
      <c r="S804" s="52">
        <v>0</v>
      </c>
      <c r="T804" s="52">
        <v>0</v>
      </c>
      <c r="U804" s="52">
        <v>0</v>
      </c>
      <c r="V804" s="180">
        <f>SUM(B804:U804)</f>
        <v>0</v>
      </c>
      <c r="W804" s="53">
        <f>V804/20</f>
        <v>0</v>
      </c>
    </row>
    <row r="805" spans="1:25" s="3" customFormat="1">
      <c r="A805" s="200" t="s">
        <v>680</v>
      </c>
      <c r="B805" s="52">
        <f>('Scenario 2 Assumptions'!$B$279*('Scenario 2 Assumptions'!$B$330*0.5)/20)</f>
        <v>5.0624999999999997E-4</v>
      </c>
      <c r="C805" s="52">
        <f>('Scenario 2 Assumptions'!$B$279*('Scenario 2 Assumptions'!$B$330*0.5)/20)</f>
        <v>5.0624999999999997E-4</v>
      </c>
      <c r="D805" s="52">
        <f>('Scenario 2 Assumptions'!$B$279*('Scenario 2 Assumptions'!$B$330*0.5)/20)</f>
        <v>5.0624999999999997E-4</v>
      </c>
      <c r="E805" s="52">
        <f>('Scenario 2 Assumptions'!$B$279*('Scenario 2 Assumptions'!$B$330*0.5)/20)</f>
        <v>5.0624999999999997E-4</v>
      </c>
      <c r="F805" s="52">
        <f>('Scenario 2 Assumptions'!$B$279*('Scenario 2 Assumptions'!$B$330*0.5)/20)</f>
        <v>5.0624999999999997E-4</v>
      </c>
      <c r="G805" s="52">
        <f>('Scenario 2 Assumptions'!$B$279*('Scenario 2 Assumptions'!$B$330*0.5)/20)</f>
        <v>5.0624999999999997E-4</v>
      </c>
      <c r="H805" s="52">
        <f>('Scenario 2 Assumptions'!$B$279*('Scenario 2 Assumptions'!$B$330*0.5)/20)</f>
        <v>5.0624999999999997E-4</v>
      </c>
      <c r="I805" s="52">
        <f>('Scenario 2 Assumptions'!$B$279*('Scenario 2 Assumptions'!$B$330*0.5)/20)</f>
        <v>5.0624999999999997E-4</v>
      </c>
      <c r="J805" s="52">
        <f>('Scenario 2 Assumptions'!$B$279*('Scenario 2 Assumptions'!$B$330*0.5)/20)</f>
        <v>5.0624999999999997E-4</v>
      </c>
      <c r="K805" s="52">
        <f>('Scenario 2 Assumptions'!$B$279*('Scenario 2 Assumptions'!$B$330*0.5)/20)</f>
        <v>5.0624999999999997E-4</v>
      </c>
      <c r="L805" s="52">
        <f>('Scenario 2 Assumptions'!$B$279*('Scenario 2 Assumptions'!$B$330*0.5)/20)</f>
        <v>5.0624999999999997E-4</v>
      </c>
      <c r="M805" s="52">
        <f>('Scenario 2 Assumptions'!$B$279*('Scenario 2 Assumptions'!$B$330*0.5)/20)</f>
        <v>5.0624999999999997E-4</v>
      </c>
      <c r="N805" s="52">
        <f>('Scenario 2 Assumptions'!$B$279*('Scenario 2 Assumptions'!$B$330*0.5)/20)</f>
        <v>5.0624999999999997E-4</v>
      </c>
      <c r="O805" s="52">
        <f>('Scenario 2 Assumptions'!$B$279*('Scenario 2 Assumptions'!$B$330*0.5)/20)</f>
        <v>5.0624999999999997E-4</v>
      </c>
      <c r="P805" s="52">
        <f>('Scenario 2 Assumptions'!$B$279*('Scenario 2 Assumptions'!$B$330*0.5)/20)</f>
        <v>5.0624999999999997E-4</v>
      </c>
      <c r="Q805" s="52">
        <f>('Scenario 2 Assumptions'!$B$279*('Scenario 2 Assumptions'!$B$330*0.5)/20)</f>
        <v>5.0624999999999997E-4</v>
      </c>
      <c r="R805" s="52">
        <f>('Scenario 2 Assumptions'!$B$279*('Scenario 2 Assumptions'!$B$330*0.5)/20)</f>
        <v>5.0624999999999997E-4</v>
      </c>
      <c r="S805" s="52">
        <f>('Scenario 2 Assumptions'!$B$279*('Scenario 2 Assumptions'!$B$330*0.5)/20)</f>
        <v>5.0624999999999997E-4</v>
      </c>
      <c r="T805" s="52">
        <f>('Scenario 2 Assumptions'!$B$279*('Scenario 2 Assumptions'!$B$330*0.5)/20)</f>
        <v>5.0624999999999997E-4</v>
      </c>
      <c r="U805" s="52">
        <f>('Scenario 2 Assumptions'!$B$279*('Scenario 2 Assumptions'!$B$330*0.5)/20)</f>
        <v>5.0624999999999997E-4</v>
      </c>
      <c r="V805" s="180">
        <f t="shared" ref="V805:V806" si="1466">SUM(B805:U805)</f>
        <v>1.0124999999999997E-2</v>
      </c>
      <c r="W805" s="53">
        <f t="shared" ref="W805:W806" si="1467">V805/20</f>
        <v>5.0624999999999986E-4</v>
      </c>
    </row>
    <row r="806" spans="1:25" ht="13.5" customHeight="1">
      <c r="A806" s="49" t="s">
        <v>664</v>
      </c>
      <c r="B806" s="34">
        <f>SUM(B804:B805)</f>
        <v>5.0624999999999997E-4</v>
      </c>
      <c r="C806" s="34">
        <f t="shared" ref="C806" si="1468">SUM(C804:C805)</f>
        <v>5.0624999999999997E-4</v>
      </c>
      <c r="D806" s="34">
        <f t="shared" ref="D806" si="1469">SUM(D804:D805)</f>
        <v>5.0624999999999997E-4</v>
      </c>
      <c r="E806" s="34">
        <f t="shared" ref="E806" si="1470">SUM(E804:E805)</f>
        <v>5.0624999999999997E-4</v>
      </c>
      <c r="F806" s="34">
        <f t="shared" ref="F806" si="1471">SUM(F804:F805)</f>
        <v>5.0624999999999997E-4</v>
      </c>
      <c r="G806" s="34">
        <f t="shared" ref="G806" si="1472">SUM(G804:G805)</f>
        <v>5.0624999999999997E-4</v>
      </c>
      <c r="H806" s="34">
        <f t="shared" ref="H806" si="1473">SUM(H804:H805)</f>
        <v>5.0624999999999997E-4</v>
      </c>
      <c r="I806" s="34">
        <f t="shared" ref="I806" si="1474">SUM(I804:I805)</f>
        <v>5.0624999999999997E-4</v>
      </c>
      <c r="J806" s="34">
        <f t="shared" ref="J806" si="1475">SUM(J804:J805)</f>
        <v>5.0624999999999997E-4</v>
      </c>
      <c r="K806" s="34">
        <f t="shared" ref="K806" si="1476">SUM(K804:K805)</f>
        <v>5.0624999999999997E-4</v>
      </c>
      <c r="L806" s="34">
        <f t="shared" ref="L806" si="1477">SUM(L804:L805)</f>
        <v>5.0624999999999997E-4</v>
      </c>
      <c r="M806" s="34">
        <f t="shared" ref="M806" si="1478">SUM(M804:M805)</f>
        <v>5.0624999999999997E-4</v>
      </c>
      <c r="N806" s="34">
        <f t="shared" ref="N806" si="1479">SUM(N804:N805)</f>
        <v>5.0624999999999997E-4</v>
      </c>
      <c r="O806" s="34">
        <f t="shared" ref="O806" si="1480">SUM(O804:O805)</f>
        <v>5.0624999999999997E-4</v>
      </c>
      <c r="P806" s="34">
        <f t="shared" ref="P806" si="1481">SUM(P804:P805)</f>
        <v>5.0624999999999997E-4</v>
      </c>
      <c r="Q806" s="34">
        <f t="shared" ref="Q806" si="1482">SUM(Q804:Q805)</f>
        <v>5.0624999999999997E-4</v>
      </c>
      <c r="R806" s="34">
        <f t="shared" ref="R806" si="1483">SUM(R804:R805)</f>
        <v>5.0624999999999997E-4</v>
      </c>
      <c r="S806" s="34">
        <f t="shared" ref="S806" si="1484">SUM(S804:S805)</f>
        <v>5.0624999999999997E-4</v>
      </c>
      <c r="T806" s="34">
        <f t="shared" ref="T806" si="1485">SUM(T804:T805)</f>
        <v>5.0624999999999997E-4</v>
      </c>
      <c r="U806" s="34">
        <f t="shared" ref="U806" si="1486">SUM(U804:U805)</f>
        <v>5.0624999999999997E-4</v>
      </c>
      <c r="V806" s="180">
        <f t="shared" si="1466"/>
        <v>1.0124999999999997E-2</v>
      </c>
      <c r="W806" s="53">
        <f t="shared" si="1467"/>
        <v>5.0624999999999986E-4</v>
      </c>
    </row>
    <row r="807" spans="1:25" s="81" customFormat="1">
      <c r="A807" s="134" t="s">
        <v>123</v>
      </c>
      <c r="B807" s="52">
        <v>0.96618357487922713</v>
      </c>
      <c r="C807" s="52">
        <v>0.93351070036640305</v>
      </c>
      <c r="D807" s="52">
        <v>0.90194270566802237</v>
      </c>
      <c r="E807" s="52">
        <v>0.87144222769857238</v>
      </c>
      <c r="F807" s="52">
        <v>0.84197316685852419</v>
      </c>
      <c r="G807" s="52">
        <v>0.81350064430775282</v>
      </c>
      <c r="H807" s="52">
        <v>0.78599096068381913</v>
      </c>
      <c r="I807" s="52">
        <v>0.75941155621625056</v>
      </c>
      <c r="J807" s="52">
        <v>0.73373097218961414</v>
      </c>
      <c r="K807" s="52">
        <v>0.70891881370977217</v>
      </c>
      <c r="L807" s="52">
        <v>0.68494571372924851</v>
      </c>
      <c r="M807" s="52">
        <v>0.66178329828912896</v>
      </c>
      <c r="N807" s="52">
        <v>0.63940415293635666</v>
      </c>
      <c r="O807" s="52">
        <v>0.61778179027667302</v>
      </c>
      <c r="P807" s="52">
        <v>0.59689061862480497</v>
      </c>
      <c r="Q807" s="52">
        <v>0.57670591171478747</v>
      </c>
      <c r="R807" s="52">
        <v>0.55720377943457733</v>
      </c>
      <c r="S807" s="52">
        <v>0.53836113955031628</v>
      </c>
      <c r="T807" s="52">
        <v>0.52015569038677911</v>
      </c>
      <c r="U807" s="52">
        <v>0.50256588443167061</v>
      </c>
      <c r="V807" s="180"/>
      <c r="W807" s="133"/>
    </row>
    <row r="808" spans="1:25" s="81" customFormat="1">
      <c r="A808" s="50" t="s">
        <v>1069</v>
      </c>
      <c r="B808" s="34">
        <f t="shared" ref="B808:U808" si="1487">B807*B806</f>
        <v>4.8913043478260873E-4</v>
      </c>
      <c r="C808" s="34">
        <f t="shared" si="1487"/>
        <v>4.7258979206049151E-4</v>
      </c>
      <c r="D808" s="34">
        <f t="shared" si="1487"/>
        <v>4.5660849474443629E-4</v>
      </c>
      <c r="E808" s="34">
        <f t="shared" si="1487"/>
        <v>4.4116762777240222E-4</v>
      </c>
      <c r="F808" s="34">
        <f t="shared" si="1487"/>
        <v>4.2624891572212785E-4</v>
      </c>
      <c r="G808" s="34">
        <f t="shared" si="1487"/>
        <v>4.1183470118079987E-4</v>
      </c>
      <c r="H808" s="34">
        <f t="shared" si="1487"/>
        <v>3.9790792384618339E-4</v>
      </c>
      <c r="I808" s="34">
        <f t="shared" si="1487"/>
        <v>3.8445210033447681E-4</v>
      </c>
      <c r="J808" s="34">
        <f t="shared" si="1487"/>
        <v>3.7145130467099212E-4</v>
      </c>
      <c r="K808" s="34">
        <f t="shared" si="1487"/>
        <v>3.5889014944057211E-4</v>
      </c>
      <c r="L808" s="34">
        <f t="shared" si="1487"/>
        <v>3.4675376757543203E-4</v>
      </c>
      <c r="M808" s="34">
        <f t="shared" si="1487"/>
        <v>3.3502779475887151E-4</v>
      </c>
      <c r="N808" s="34">
        <f t="shared" si="1487"/>
        <v>3.2369835242403053E-4</v>
      </c>
      <c r="O808" s="34">
        <f t="shared" si="1487"/>
        <v>3.1275203132756572E-4</v>
      </c>
      <c r="P808" s="34">
        <f t="shared" si="1487"/>
        <v>3.0217587567880747E-4</v>
      </c>
      <c r="Q808" s="34">
        <f t="shared" si="1487"/>
        <v>2.9195736780561113E-4</v>
      </c>
      <c r="R808" s="34">
        <f t="shared" si="1487"/>
        <v>2.8208441333875476E-4</v>
      </c>
      <c r="S808" s="34">
        <f t="shared" si="1487"/>
        <v>2.7254532689734758E-4</v>
      </c>
      <c r="T808" s="34">
        <f t="shared" si="1487"/>
        <v>2.6332881825830693E-4</v>
      </c>
      <c r="U808" s="34">
        <f t="shared" si="1487"/>
        <v>2.5442397899353325E-4</v>
      </c>
      <c r="V808" s="182">
        <f>SUM(B808:U808)</f>
        <v>7.1950291716133515E-3</v>
      </c>
      <c r="W808" s="35"/>
    </row>
    <row r="809" spans="1:25">
      <c r="A809" s="49"/>
      <c r="B809" s="34"/>
      <c r="C809" s="34"/>
      <c r="D809" s="34"/>
      <c r="E809" s="34"/>
      <c r="F809" s="34"/>
      <c r="G809" s="34"/>
      <c r="H809" s="34"/>
      <c r="I809" s="34"/>
      <c r="J809" s="34"/>
      <c r="K809" s="34"/>
      <c r="L809" s="34"/>
      <c r="M809" s="34"/>
      <c r="N809" s="34"/>
      <c r="O809" s="34"/>
      <c r="P809" s="34"/>
      <c r="Q809" s="34"/>
      <c r="R809" s="34"/>
      <c r="S809" s="34"/>
      <c r="T809" s="34"/>
      <c r="U809" s="34"/>
      <c r="V809" s="182"/>
      <c r="W809" s="35"/>
    </row>
    <row r="810" spans="1:25">
      <c r="A810" s="131" t="s">
        <v>1087</v>
      </c>
      <c r="B810" s="100"/>
      <c r="C810" s="100"/>
      <c r="D810" s="100"/>
      <c r="E810" s="100"/>
      <c r="F810" s="100"/>
      <c r="G810" s="100"/>
      <c r="H810" s="100"/>
      <c r="I810" s="100"/>
      <c r="J810" s="100"/>
      <c r="K810" s="100"/>
      <c r="L810" s="100"/>
      <c r="M810" s="100"/>
      <c r="N810" s="100"/>
      <c r="O810" s="100"/>
      <c r="P810" s="100"/>
      <c r="Q810" s="100"/>
      <c r="R810" s="100"/>
      <c r="S810" s="100"/>
      <c r="T810" s="100"/>
      <c r="U810" s="100"/>
      <c r="V810" s="179"/>
      <c r="W810" s="140"/>
    </row>
    <row r="811" spans="1:25">
      <c r="A811" s="200" t="s">
        <v>679</v>
      </c>
      <c r="B811" s="52">
        <v>0</v>
      </c>
      <c r="C811" s="52">
        <v>0</v>
      </c>
      <c r="D811" s="52">
        <v>0</v>
      </c>
      <c r="E811" s="52">
        <v>0</v>
      </c>
      <c r="F811" s="52">
        <v>0</v>
      </c>
      <c r="G811" s="52">
        <v>0</v>
      </c>
      <c r="H811" s="52">
        <v>0</v>
      </c>
      <c r="I811" s="52">
        <v>0</v>
      </c>
      <c r="J811" s="52">
        <v>0</v>
      </c>
      <c r="K811" s="52">
        <v>0</v>
      </c>
      <c r="L811" s="52">
        <v>0</v>
      </c>
      <c r="M811" s="52">
        <v>0</v>
      </c>
      <c r="N811" s="52">
        <v>0</v>
      </c>
      <c r="O811" s="52">
        <v>0</v>
      </c>
      <c r="P811" s="52">
        <v>0</v>
      </c>
      <c r="Q811" s="52">
        <v>0</v>
      </c>
      <c r="R811" s="52">
        <v>0</v>
      </c>
      <c r="S811" s="52">
        <v>0</v>
      </c>
      <c r="T811" s="52">
        <v>0</v>
      </c>
      <c r="U811" s="52">
        <v>0</v>
      </c>
      <c r="V811" s="180">
        <f>SUM(B811:U811)</f>
        <v>0</v>
      </c>
      <c r="W811" s="53">
        <f>V811/20</f>
        <v>0</v>
      </c>
    </row>
    <row r="812" spans="1:25">
      <c r="A812" s="200" t="s">
        <v>680</v>
      </c>
      <c r="B812" s="52">
        <f>('Scenario 2 Assumptions'!$B$279*('Scenario 2 Assumptions'!$B$331*0.5)/20)+B153</f>
        <v>4.3874999999999999E-3</v>
      </c>
      <c r="C812" s="52">
        <f>('Scenario 2 Assumptions'!$B$279*('Scenario 2 Assumptions'!$B$331*0.5)/20)+C153</f>
        <v>4.3874999999999999E-3</v>
      </c>
      <c r="D812" s="52">
        <f>('Scenario 2 Assumptions'!$B$279*('Scenario 2 Assumptions'!$B$331*0.5)/20)+D153</f>
        <v>4.3874999999999999E-3</v>
      </c>
      <c r="E812" s="52">
        <f>('Scenario 2 Assumptions'!$B$279*('Scenario 2 Assumptions'!$B$331*0.5)/20)+E153</f>
        <v>4.3874999999999999E-3</v>
      </c>
      <c r="F812" s="52">
        <f>('Scenario 2 Assumptions'!$B$279*('Scenario 2 Assumptions'!$B$331*0.5)/20)+F153</f>
        <v>4.3874999999999999E-3</v>
      </c>
      <c r="G812" s="52">
        <f>('Scenario 2 Assumptions'!$B$279*('Scenario 2 Assumptions'!$B$331*0.5)/20)+G153</f>
        <v>4.3874999999999999E-3</v>
      </c>
      <c r="H812" s="52">
        <f>('Scenario 2 Assumptions'!$B$279*('Scenario 2 Assumptions'!$B$331*0.5)/20)+H153</f>
        <v>4.3874999999999999E-3</v>
      </c>
      <c r="I812" s="52">
        <f>('Scenario 2 Assumptions'!$B$279*('Scenario 2 Assumptions'!$B$331*0.5)/20)+I153</f>
        <v>4.3874999999999999E-3</v>
      </c>
      <c r="J812" s="52">
        <f>('Scenario 2 Assumptions'!$B$279*('Scenario 2 Assumptions'!$B$331*0.5)/20)+J153</f>
        <v>4.3874999999999999E-3</v>
      </c>
      <c r="K812" s="52">
        <f>('Scenario 2 Assumptions'!$B$279*('Scenario 2 Assumptions'!$B$331*0.5)/20)+K153</f>
        <v>4.3874999999999999E-3</v>
      </c>
      <c r="L812" s="52">
        <f>('Scenario 2 Assumptions'!$B$279*('Scenario 2 Assumptions'!$B$331*0.5)/20)+L153</f>
        <v>4.3874999999999999E-3</v>
      </c>
      <c r="M812" s="52">
        <f>('Scenario 2 Assumptions'!$B$279*('Scenario 2 Assumptions'!$B$331*0.5)/20)+M153</f>
        <v>4.3874999999999999E-3</v>
      </c>
      <c r="N812" s="52">
        <f>('Scenario 2 Assumptions'!$B$279*('Scenario 2 Assumptions'!$B$331*0.5)/20)+N153</f>
        <v>4.3874999999999999E-3</v>
      </c>
      <c r="O812" s="52">
        <f>('Scenario 2 Assumptions'!$B$279*('Scenario 2 Assumptions'!$B$331*0.5)/20)+O153</f>
        <v>4.3874999999999999E-3</v>
      </c>
      <c r="P812" s="52">
        <f>('Scenario 2 Assumptions'!$B$279*('Scenario 2 Assumptions'!$B$331*0.5)/20)+P153</f>
        <v>4.3874999999999999E-3</v>
      </c>
      <c r="Q812" s="52">
        <f>('Scenario 2 Assumptions'!$B$279*('Scenario 2 Assumptions'!$B$331*0.5)/20)+Q153</f>
        <v>4.3874999999999999E-3</v>
      </c>
      <c r="R812" s="52">
        <f>('Scenario 2 Assumptions'!$B$279*('Scenario 2 Assumptions'!$B$331*0.5)/20)+R153</f>
        <v>4.3874999999999999E-3</v>
      </c>
      <c r="S812" s="52">
        <f>('Scenario 2 Assumptions'!$B$279*('Scenario 2 Assumptions'!$B$331*0.5)/20)+S153</f>
        <v>4.3874999999999999E-3</v>
      </c>
      <c r="T812" s="52">
        <f>('Scenario 2 Assumptions'!$B$279*('Scenario 2 Assumptions'!$B$331*0.5)/20)+T153</f>
        <v>4.3874999999999999E-3</v>
      </c>
      <c r="U812" s="52">
        <f>('Scenario 2 Assumptions'!$B$279*('Scenario 2 Assumptions'!$B$331*0.5)/20)+U153</f>
        <v>4.3874999999999999E-3</v>
      </c>
      <c r="V812" s="180">
        <f t="shared" ref="V812:V813" si="1488">SUM(B812:U812)</f>
        <v>8.7750000000000022E-2</v>
      </c>
      <c r="W812" s="53">
        <f t="shared" ref="W812:W813" si="1489">V812/20</f>
        <v>4.3875000000000008E-3</v>
      </c>
      <c r="Y812" s="175"/>
    </row>
    <row r="813" spans="1:25">
      <c r="A813" s="49" t="s">
        <v>664</v>
      </c>
      <c r="B813" s="34">
        <f>SUM(B811:B812)</f>
        <v>4.3874999999999999E-3</v>
      </c>
      <c r="C813" s="34">
        <f t="shared" ref="C813" si="1490">SUM(C811:C812)</f>
        <v>4.3874999999999999E-3</v>
      </c>
      <c r="D813" s="34">
        <f t="shared" ref="D813" si="1491">SUM(D811:D812)</f>
        <v>4.3874999999999999E-3</v>
      </c>
      <c r="E813" s="34">
        <f t="shared" ref="E813" si="1492">SUM(E811:E812)</f>
        <v>4.3874999999999999E-3</v>
      </c>
      <c r="F813" s="34">
        <f t="shared" ref="F813" si="1493">SUM(F811:F812)</f>
        <v>4.3874999999999999E-3</v>
      </c>
      <c r="G813" s="34">
        <f t="shared" ref="G813" si="1494">SUM(G811:G812)</f>
        <v>4.3874999999999999E-3</v>
      </c>
      <c r="H813" s="34">
        <f t="shared" ref="H813" si="1495">SUM(H811:H812)</f>
        <v>4.3874999999999999E-3</v>
      </c>
      <c r="I813" s="34">
        <f t="shared" ref="I813" si="1496">SUM(I811:I812)</f>
        <v>4.3874999999999999E-3</v>
      </c>
      <c r="J813" s="34">
        <f t="shared" ref="J813" si="1497">SUM(J811:J812)</f>
        <v>4.3874999999999999E-3</v>
      </c>
      <c r="K813" s="34">
        <f t="shared" ref="K813" si="1498">SUM(K811:K812)</f>
        <v>4.3874999999999999E-3</v>
      </c>
      <c r="L813" s="34">
        <f t="shared" ref="L813" si="1499">SUM(L811:L812)</f>
        <v>4.3874999999999999E-3</v>
      </c>
      <c r="M813" s="34">
        <f t="shared" ref="M813" si="1500">SUM(M811:M812)</f>
        <v>4.3874999999999999E-3</v>
      </c>
      <c r="N813" s="34">
        <f t="shared" ref="N813" si="1501">SUM(N811:N812)</f>
        <v>4.3874999999999999E-3</v>
      </c>
      <c r="O813" s="34">
        <f t="shared" ref="O813" si="1502">SUM(O811:O812)</f>
        <v>4.3874999999999999E-3</v>
      </c>
      <c r="P813" s="34">
        <f t="shared" ref="P813" si="1503">SUM(P811:P812)</f>
        <v>4.3874999999999999E-3</v>
      </c>
      <c r="Q813" s="34">
        <f t="shared" ref="Q813" si="1504">SUM(Q811:Q812)</f>
        <v>4.3874999999999999E-3</v>
      </c>
      <c r="R813" s="34">
        <f t="shared" ref="R813" si="1505">SUM(R811:R812)</f>
        <v>4.3874999999999999E-3</v>
      </c>
      <c r="S813" s="34">
        <f t="shared" ref="S813" si="1506">SUM(S811:S812)</f>
        <v>4.3874999999999999E-3</v>
      </c>
      <c r="T813" s="34">
        <f t="shared" ref="T813" si="1507">SUM(T811:T812)</f>
        <v>4.3874999999999999E-3</v>
      </c>
      <c r="U813" s="34">
        <f t="shared" ref="U813" si="1508">SUM(U811:U812)</f>
        <v>4.3874999999999999E-3</v>
      </c>
      <c r="V813" s="180">
        <f t="shared" si="1488"/>
        <v>8.7750000000000022E-2</v>
      </c>
      <c r="W813" s="53">
        <f t="shared" si="1489"/>
        <v>4.3875000000000008E-3</v>
      </c>
    </row>
    <row r="814" spans="1:25" s="3" customFormat="1">
      <c r="A814" s="134" t="s">
        <v>123</v>
      </c>
      <c r="B814" s="52">
        <v>0.96618357487922713</v>
      </c>
      <c r="C814" s="52">
        <v>0.93351070036640305</v>
      </c>
      <c r="D814" s="52">
        <v>0.90194270566802237</v>
      </c>
      <c r="E814" s="52">
        <v>0.87144222769857238</v>
      </c>
      <c r="F814" s="52">
        <v>0.84197316685852419</v>
      </c>
      <c r="G814" s="52">
        <v>0.81350064430775282</v>
      </c>
      <c r="H814" s="52">
        <v>0.78599096068381913</v>
      </c>
      <c r="I814" s="52">
        <v>0.75941155621625056</v>
      </c>
      <c r="J814" s="52">
        <v>0.73373097218961414</v>
      </c>
      <c r="K814" s="52">
        <v>0.70891881370977217</v>
      </c>
      <c r="L814" s="52">
        <v>0.68494571372924851</v>
      </c>
      <c r="M814" s="52">
        <v>0.66178329828912896</v>
      </c>
      <c r="N814" s="52">
        <v>0.63940415293635666</v>
      </c>
      <c r="O814" s="52">
        <v>0.61778179027667302</v>
      </c>
      <c r="P814" s="52">
        <v>0.59689061862480497</v>
      </c>
      <c r="Q814" s="52">
        <v>0.57670591171478747</v>
      </c>
      <c r="R814" s="52">
        <v>0.55720377943457733</v>
      </c>
      <c r="S814" s="52">
        <v>0.53836113955031628</v>
      </c>
      <c r="T814" s="52">
        <v>0.52015569038677911</v>
      </c>
      <c r="U814" s="52">
        <v>0.50256588443167061</v>
      </c>
      <c r="V814" s="180"/>
      <c r="W814" s="133"/>
    </row>
    <row r="815" spans="1:25" ht="13.5" customHeight="1">
      <c r="A815" s="50" t="s">
        <v>1069</v>
      </c>
      <c r="B815" s="34">
        <f t="shared" ref="B815:U815" si="1509">B814*B813</f>
        <v>4.239130434782609E-3</v>
      </c>
      <c r="C815" s="34">
        <f t="shared" si="1509"/>
        <v>4.0957781978575936E-3</v>
      </c>
      <c r="D815" s="34">
        <f t="shared" si="1509"/>
        <v>3.9572736211184482E-3</v>
      </c>
      <c r="E815" s="34">
        <f t="shared" si="1509"/>
        <v>3.8234527740274864E-3</v>
      </c>
      <c r="F815" s="34">
        <f t="shared" si="1509"/>
        <v>3.6941572695917747E-3</v>
      </c>
      <c r="G815" s="34">
        <f t="shared" si="1509"/>
        <v>3.5692340769002654E-3</v>
      </c>
      <c r="H815" s="34">
        <f t="shared" si="1509"/>
        <v>3.4485353400002562E-3</v>
      </c>
      <c r="I815" s="34">
        <f t="shared" si="1509"/>
        <v>3.3319182028987994E-3</v>
      </c>
      <c r="J815" s="34">
        <f t="shared" si="1509"/>
        <v>3.2192446404819318E-3</v>
      </c>
      <c r="K815" s="34">
        <f t="shared" si="1509"/>
        <v>3.1103812951516251E-3</v>
      </c>
      <c r="L815" s="34">
        <f t="shared" si="1509"/>
        <v>3.0051993189870777E-3</v>
      </c>
      <c r="M815" s="34">
        <f t="shared" si="1509"/>
        <v>2.9035742212435533E-3</v>
      </c>
      <c r="N815" s="34">
        <f t="shared" si="1509"/>
        <v>2.8053857210082649E-3</v>
      </c>
      <c r="O815" s="34">
        <f t="shared" si="1509"/>
        <v>2.7105176048389029E-3</v>
      </c>
      <c r="P815" s="34">
        <f t="shared" si="1509"/>
        <v>2.6188575892163316E-3</v>
      </c>
      <c r="Q815" s="34">
        <f t="shared" si="1509"/>
        <v>2.5302971876486301E-3</v>
      </c>
      <c r="R815" s="34">
        <f t="shared" si="1509"/>
        <v>2.444731582269208E-3</v>
      </c>
      <c r="S815" s="34">
        <f t="shared" si="1509"/>
        <v>2.3620594997770124E-3</v>
      </c>
      <c r="T815" s="34">
        <f t="shared" si="1509"/>
        <v>2.2821830915719932E-3</v>
      </c>
      <c r="U815" s="34">
        <f t="shared" si="1509"/>
        <v>2.2050078179439549E-3</v>
      </c>
      <c r="V815" s="182">
        <f>SUM(B815:U815)</f>
        <v>6.2356919487315726E-2</v>
      </c>
      <c r="W815" s="35"/>
    </row>
    <row r="816" spans="1:25" s="81" customFormat="1">
      <c r="A816" s="49"/>
      <c r="B816" s="34"/>
      <c r="C816" s="34"/>
      <c r="D816" s="34"/>
      <c r="E816" s="34"/>
      <c r="F816" s="34"/>
      <c r="G816" s="34"/>
      <c r="H816" s="34"/>
      <c r="I816" s="34"/>
      <c r="J816" s="34"/>
      <c r="K816" s="34"/>
      <c r="L816" s="34"/>
      <c r="M816" s="34"/>
      <c r="N816" s="34"/>
      <c r="O816" s="34"/>
      <c r="P816" s="34"/>
      <c r="Q816" s="34"/>
      <c r="R816" s="34"/>
      <c r="S816" s="34"/>
      <c r="T816" s="34"/>
      <c r="U816" s="34"/>
      <c r="V816" s="182"/>
      <c r="W816" s="35"/>
    </row>
    <row r="817" spans="1:23" s="81" customFormat="1">
      <c r="A817" s="131" t="s">
        <v>1144</v>
      </c>
      <c r="B817" s="100"/>
      <c r="C817" s="100"/>
      <c r="D817" s="100"/>
      <c r="E817" s="100"/>
      <c r="F817" s="100"/>
      <c r="G817" s="100"/>
      <c r="H817" s="100"/>
      <c r="I817" s="100"/>
      <c r="J817" s="100"/>
      <c r="K817" s="100"/>
      <c r="L817" s="100"/>
      <c r="M817" s="100"/>
      <c r="N817" s="100"/>
      <c r="O817" s="100"/>
      <c r="P817" s="100"/>
      <c r="Q817" s="100"/>
      <c r="R817" s="100"/>
      <c r="S817" s="100"/>
      <c r="T817" s="100"/>
      <c r="U817" s="100"/>
      <c r="V817" s="179"/>
      <c r="W817" s="140"/>
    </row>
    <row r="818" spans="1:23">
      <c r="A818" s="200" t="s">
        <v>679</v>
      </c>
      <c r="B818" s="52">
        <v>0</v>
      </c>
      <c r="C818" s="52">
        <v>0</v>
      </c>
      <c r="D818" s="52">
        <v>0</v>
      </c>
      <c r="E818" s="52">
        <v>0</v>
      </c>
      <c r="F818" s="52">
        <v>0</v>
      </c>
      <c r="G818" s="52">
        <v>0</v>
      </c>
      <c r="H818" s="52">
        <v>0</v>
      </c>
      <c r="I818" s="52">
        <v>0</v>
      </c>
      <c r="J818" s="52">
        <v>0</v>
      </c>
      <c r="K818" s="52">
        <v>0</v>
      </c>
      <c r="L818" s="52">
        <v>0</v>
      </c>
      <c r="M818" s="52">
        <v>0</v>
      </c>
      <c r="N818" s="52">
        <v>0</v>
      </c>
      <c r="O818" s="52">
        <v>0</v>
      </c>
      <c r="P818" s="52">
        <v>0</v>
      </c>
      <c r="Q818" s="52">
        <v>0</v>
      </c>
      <c r="R818" s="52">
        <v>0</v>
      </c>
      <c r="S818" s="52">
        <v>0</v>
      </c>
      <c r="T818" s="52">
        <v>0</v>
      </c>
      <c r="U818" s="52">
        <v>0</v>
      </c>
      <c r="V818" s="180">
        <f>SUM(B818:U818)</f>
        <v>0</v>
      </c>
      <c r="W818" s="53">
        <f>V818/20</f>
        <v>0</v>
      </c>
    </row>
    <row r="819" spans="1:23">
      <c r="A819" s="200" t="s">
        <v>680</v>
      </c>
      <c r="B819" s="52">
        <f>('Scenario 2 Assumptions'!$B$279*('Scenario 2 Assumptions'!$B$332*0.5)/20)</f>
        <v>3.3750000000000002E-4</v>
      </c>
      <c r="C819" s="52">
        <f>('Scenario 2 Assumptions'!$B$279*('Scenario 2 Assumptions'!$B$332*0.5)/20)</f>
        <v>3.3750000000000002E-4</v>
      </c>
      <c r="D819" s="52">
        <f>('Scenario 2 Assumptions'!$B$279*('Scenario 2 Assumptions'!$B$332*0.5)/20)</f>
        <v>3.3750000000000002E-4</v>
      </c>
      <c r="E819" s="52">
        <f>('Scenario 2 Assumptions'!$B$279*('Scenario 2 Assumptions'!$B$332*0.5)/20)</f>
        <v>3.3750000000000002E-4</v>
      </c>
      <c r="F819" s="52">
        <f>('Scenario 2 Assumptions'!$B$279*('Scenario 2 Assumptions'!$B$332*0.5)/20)</f>
        <v>3.3750000000000002E-4</v>
      </c>
      <c r="G819" s="52">
        <f>('Scenario 2 Assumptions'!$B$279*('Scenario 2 Assumptions'!$B$332*0.5)/20)</f>
        <v>3.3750000000000002E-4</v>
      </c>
      <c r="H819" s="52">
        <f>('Scenario 2 Assumptions'!$B$279*('Scenario 2 Assumptions'!$B$332*0.5)/20)</f>
        <v>3.3750000000000002E-4</v>
      </c>
      <c r="I819" s="52">
        <f>('Scenario 2 Assumptions'!$B$279*('Scenario 2 Assumptions'!$B$332*0.5)/20)</f>
        <v>3.3750000000000002E-4</v>
      </c>
      <c r="J819" s="52">
        <f>('Scenario 2 Assumptions'!$B$279*('Scenario 2 Assumptions'!$B$332*0.5)/20)</f>
        <v>3.3750000000000002E-4</v>
      </c>
      <c r="K819" s="52">
        <f>('Scenario 2 Assumptions'!$B$279*('Scenario 2 Assumptions'!$B$332*0.5)/20)</f>
        <v>3.3750000000000002E-4</v>
      </c>
      <c r="L819" s="52">
        <f>('Scenario 2 Assumptions'!$B$279*('Scenario 2 Assumptions'!$B$332*0.5)/20)</f>
        <v>3.3750000000000002E-4</v>
      </c>
      <c r="M819" s="52">
        <f>('Scenario 2 Assumptions'!$B$279*('Scenario 2 Assumptions'!$B$332*0.5)/20)</f>
        <v>3.3750000000000002E-4</v>
      </c>
      <c r="N819" s="52">
        <f>('Scenario 2 Assumptions'!$B$279*('Scenario 2 Assumptions'!$B$332*0.5)/20)</f>
        <v>3.3750000000000002E-4</v>
      </c>
      <c r="O819" s="52">
        <f>('Scenario 2 Assumptions'!$B$279*('Scenario 2 Assumptions'!$B$332*0.5)/20)</f>
        <v>3.3750000000000002E-4</v>
      </c>
      <c r="P819" s="52">
        <f>('Scenario 2 Assumptions'!$B$279*('Scenario 2 Assumptions'!$B$332*0.5)/20)</f>
        <v>3.3750000000000002E-4</v>
      </c>
      <c r="Q819" s="52">
        <f>('Scenario 2 Assumptions'!$B$279*('Scenario 2 Assumptions'!$B$332*0.5)/20)</f>
        <v>3.3750000000000002E-4</v>
      </c>
      <c r="R819" s="52">
        <f>('Scenario 2 Assumptions'!$B$279*('Scenario 2 Assumptions'!$B$332*0.5)/20)</f>
        <v>3.3750000000000002E-4</v>
      </c>
      <c r="S819" s="52">
        <f>('Scenario 2 Assumptions'!$B$279*('Scenario 2 Assumptions'!$B$332*0.5)/20)</f>
        <v>3.3750000000000002E-4</v>
      </c>
      <c r="T819" s="52">
        <f>('Scenario 2 Assumptions'!$B$279*('Scenario 2 Assumptions'!$B$332*0.5)/20)</f>
        <v>3.3750000000000002E-4</v>
      </c>
      <c r="U819" s="52">
        <f>('Scenario 2 Assumptions'!$B$279*('Scenario 2 Assumptions'!$B$332*0.5)/20)</f>
        <v>3.3750000000000002E-4</v>
      </c>
      <c r="V819" s="180">
        <f t="shared" ref="V819:V820" si="1510">SUM(B819:U819)</f>
        <v>6.7500000000000017E-3</v>
      </c>
      <c r="W819" s="53">
        <f t="shared" ref="W819:W820" si="1511">V819/20</f>
        <v>3.3750000000000007E-4</v>
      </c>
    </row>
    <row r="820" spans="1:23">
      <c r="A820" s="49" t="s">
        <v>664</v>
      </c>
      <c r="B820" s="34">
        <f>SUM(B818:B819)</f>
        <v>3.3750000000000002E-4</v>
      </c>
      <c r="C820" s="34">
        <f t="shared" ref="C820" si="1512">SUM(C818:C819)</f>
        <v>3.3750000000000002E-4</v>
      </c>
      <c r="D820" s="34">
        <f t="shared" ref="D820" si="1513">SUM(D818:D819)</f>
        <v>3.3750000000000002E-4</v>
      </c>
      <c r="E820" s="34">
        <f t="shared" ref="E820" si="1514">SUM(E818:E819)</f>
        <v>3.3750000000000002E-4</v>
      </c>
      <c r="F820" s="34">
        <f t="shared" ref="F820" si="1515">SUM(F818:F819)</f>
        <v>3.3750000000000002E-4</v>
      </c>
      <c r="G820" s="34">
        <f t="shared" ref="G820" si="1516">SUM(G818:G819)</f>
        <v>3.3750000000000002E-4</v>
      </c>
      <c r="H820" s="34">
        <f t="shared" ref="H820" si="1517">SUM(H818:H819)</f>
        <v>3.3750000000000002E-4</v>
      </c>
      <c r="I820" s="34">
        <f t="shared" ref="I820" si="1518">SUM(I818:I819)</f>
        <v>3.3750000000000002E-4</v>
      </c>
      <c r="J820" s="34">
        <f t="shared" ref="J820" si="1519">SUM(J818:J819)</f>
        <v>3.3750000000000002E-4</v>
      </c>
      <c r="K820" s="34">
        <f t="shared" ref="K820" si="1520">SUM(K818:K819)</f>
        <v>3.3750000000000002E-4</v>
      </c>
      <c r="L820" s="34">
        <f t="shared" ref="L820" si="1521">SUM(L818:L819)</f>
        <v>3.3750000000000002E-4</v>
      </c>
      <c r="M820" s="34">
        <f t="shared" ref="M820" si="1522">SUM(M818:M819)</f>
        <v>3.3750000000000002E-4</v>
      </c>
      <c r="N820" s="34">
        <f t="shared" ref="N820" si="1523">SUM(N818:N819)</f>
        <v>3.3750000000000002E-4</v>
      </c>
      <c r="O820" s="34">
        <f t="shared" ref="O820" si="1524">SUM(O818:O819)</f>
        <v>3.3750000000000002E-4</v>
      </c>
      <c r="P820" s="34">
        <f t="shared" ref="P820" si="1525">SUM(P818:P819)</f>
        <v>3.3750000000000002E-4</v>
      </c>
      <c r="Q820" s="34">
        <f t="shared" ref="Q820" si="1526">SUM(Q818:Q819)</f>
        <v>3.3750000000000002E-4</v>
      </c>
      <c r="R820" s="34">
        <f t="shared" ref="R820" si="1527">SUM(R818:R819)</f>
        <v>3.3750000000000002E-4</v>
      </c>
      <c r="S820" s="34">
        <f t="shared" ref="S820" si="1528">SUM(S818:S819)</f>
        <v>3.3750000000000002E-4</v>
      </c>
      <c r="T820" s="34">
        <f t="shared" ref="T820" si="1529">SUM(T818:T819)</f>
        <v>3.3750000000000002E-4</v>
      </c>
      <c r="U820" s="34">
        <f t="shared" ref="U820" si="1530">SUM(U818:U819)</f>
        <v>3.3750000000000002E-4</v>
      </c>
      <c r="V820" s="180">
        <f t="shared" si="1510"/>
        <v>6.7500000000000017E-3</v>
      </c>
      <c r="W820" s="53">
        <f t="shared" si="1511"/>
        <v>3.3750000000000007E-4</v>
      </c>
    </row>
    <row r="821" spans="1:23" s="3" customFormat="1">
      <c r="A821" s="134" t="s">
        <v>123</v>
      </c>
      <c r="B821" s="52">
        <v>0.96618357487922713</v>
      </c>
      <c r="C821" s="52">
        <v>0.93351070036640305</v>
      </c>
      <c r="D821" s="52">
        <v>0.90194270566802237</v>
      </c>
      <c r="E821" s="52">
        <v>0.87144222769857238</v>
      </c>
      <c r="F821" s="52">
        <v>0.84197316685852419</v>
      </c>
      <c r="G821" s="52">
        <v>0.81350064430775282</v>
      </c>
      <c r="H821" s="52">
        <v>0.78599096068381913</v>
      </c>
      <c r="I821" s="52">
        <v>0.75941155621625056</v>
      </c>
      <c r="J821" s="52">
        <v>0.73373097218961414</v>
      </c>
      <c r="K821" s="52">
        <v>0.70891881370977217</v>
      </c>
      <c r="L821" s="52">
        <v>0.68494571372924851</v>
      </c>
      <c r="M821" s="52">
        <v>0.66178329828912896</v>
      </c>
      <c r="N821" s="52">
        <v>0.63940415293635666</v>
      </c>
      <c r="O821" s="52">
        <v>0.61778179027667302</v>
      </c>
      <c r="P821" s="52">
        <v>0.59689061862480497</v>
      </c>
      <c r="Q821" s="52">
        <v>0.57670591171478747</v>
      </c>
      <c r="R821" s="52">
        <v>0.55720377943457733</v>
      </c>
      <c r="S821" s="52">
        <v>0.53836113955031628</v>
      </c>
      <c r="T821" s="52">
        <v>0.52015569038677911</v>
      </c>
      <c r="U821" s="52">
        <v>0.50256588443167061</v>
      </c>
      <c r="V821" s="180"/>
      <c r="W821" s="133"/>
    </row>
    <row r="822" spans="1:23" ht="13.5" customHeight="1">
      <c r="A822" s="50" t="s">
        <v>1069</v>
      </c>
      <c r="B822" s="34">
        <f t="shared" ref="B822:U822" si="1531">B821*B820</f>
        <v>3.2608695652173916E-4</v>
      </c>
      <c r="C822" s="34">
        <f t="shared" si="1531"/>
        <v>3.1505986137366106E-4</v>
      </c>
      <c r="D822" s="34">
        <f t="shared" si="1531"/>
        <v>3.0440566316295754E-4</v>
      </c>
      <c r="E822" s="34">
        <f t="shared" si="1531"/>
        <v>2.9411175184826822E-4</v>
      </c>
      <c r="F822" s="34">
        <f t="shared" si="1531"/>
        <v>2.8416594381475195E-4</v>
      </c>
      <c r="G822" s="34">
        <f t="shared" si="1531"/>
        <v>2.745564674538666E-4</v>
      </c>
      <c r="H822" s="34">
        <f t="shared" si="1531"/>
        <v>2.6527194923078894E-4</v>
      </c>
      <c r="I822" s="34">
        <f t="shared" si="1531"/>
        <v>2.5630140022298459E-4</v>
      </c>
      <c r="J822" s="34">
        <f t="shared" si="1531"/>
        <v>2.476342031139948E-4</v>
      </c>
      <c r="K822" s="34">
        <f t="shared" si="1531"/>
        <v>2.3926009962704813E-4</v>
      </c>
      <c r="L822" s="34">
        <f t="shared" si="1531"/>
        <v>2.3116917838362139E-4</v>
      </c>
      <c r="M822" s="34">
        <f t="shared" si="1531"/>
        <v>2.2335186317258104E-4</v>
      </c>
      <c r="N822" s="34">
        <f t="shared" si="1531"/>
        <v>2.1579890161602038E-4</v>
      </c>
      <c r="O822" s="34">
        <f t="shared" si="1531"/>
        <v>2.0850135421837717E-4</v>
      </c>
      <c r="P822" s="34">
        <f t="shared" si="1531"/>
        <v>2.0145058378587169E-4</v>
      </c>
      <c r="Q822" s="34">
        <f t="shared" si="1531"/>
        <v>1.9463824520374079E-4</v>
      </c>
      <c r="R822" s="34">
        <f t="shared" si="1531"/>
        <v>1.8805627555916986E-4</v>
      </c>
      <c r="S822" s="34">
        <f t="shared" si="1531"/>
        <v>1.8169688459823176E-4</v>
      </c>
      <c r="T822" s="34">
        <f t="shared" si="1531"/>
        <v>1.7555254550553795E-4</v>
      </c>
      <c r="U822" s="34">
        <f t="shared" si="1531"/>
        <v>1.6961598599568884E-4</v>
      </c>
      <c r="V822" s="182">
        <f>SUM(B822:U822)</f>
        <v>4.7966861144089021E-3</v>
      </c>
      <c r="W822" s="35"/>
    </row>
    <row r="823" spans="1:23" s="81" customFormat="1" ht="13.5" thickBot="1">
      <c r="A823" s="43"/>
      <c r="B823" s="38"/>
      <c r="C823" s="38"/>
      <c r="D823" s="38"/>
      <c r="E823" s="38"/>
      <c r="F823" s="38"/>
      <c r="G823" s="38"/>
      <c r="H823" s="38"/>
      <c r="I823" s="38"/>
      <c r="J823" s="38"/>
      <c r="K823" s="38"/>
      <c r="L823" s="38"/>
      <c r="M823" s="38"/>
      <c r="N823" s="38"/>
      <c r="O823" s="38"/>
      <c r="P823" s="38"/>
      <c r="Q823" s="38"/>
      <c r="R823" s="38"/>
      <c r="S823" s="38"/>
      <c r="T823" s="38"/>
      <c r="U823" s="38"/>
      <c r="V823" s="183"/>
      <c r="W823" s="39"/>
    </row>
    <row r="824" spans="1:23" s="81" customFormat="1">
      <c r="A824" s="274" t="s">
        <v>653</v>
      </c>
      <c r="B824" s="188"/>
      <c r="C824" s="188"/>
      <c r="D824" s="188"/>
      <c r="E824" s="188"/>
      <c r="F824" s="188"/>
      <c r="G824" s="188"/>
      <c r="H824" s="188"/>
      <c r="I824" s="188"/>
      <c r="J824" s="188"/>
      <c r="K824" s="188"/>
      <c r="L824" s="188"/>
      <c r="M824" s="188"/>
      <c r="N824" s="188"/>
      <c r="O824" s="188"/>
      <c r="P824" s="188"/>
      <c r="Q824" s="188"/>
      <c r="R824" s="188"/>
      <c r="S824" s="188"/>
      <c r="T824" s="188"/>
      <c r="U824" s="188"/>
      <c r="V824" s="178"/>
      <c r="W824" s="130"/>
    </row>
    <row r="825" spans="1:23">
      <c r="A825" s="131"/>
      <c r="B825" s="100"/>
      <c r="C825" s="100"/>
      <c r="D825" s="100"/>
      <c r="E825" s="100"/>
      <c r="F825" s="100"/>
      <c r="G825" s="100"/>
      <c r="H825" s="100"/>
      <c r="I825" s="100"/>
      <c r="J825" s="100"/>
      <c r="K825" s="100"/>
      <c r="L825" s="100"/>
      <c r="M825" s="100"/>
      <c r="N825" s="100"/>
      <c r="O825" s="100"/>
      <c r="P825" s="100"/>
      <c r="Q825" s="100"/>
      <c r="R825" s="100"/>
      <c r="S825" s="100"/>
      <c r="T825" s="100"/>
      <c r="U825" s="100"/>
      <c r="V825" s="179"/>
      <c r="W825" s="140"/>
    </row>
    <row r="826" spans="1:23">
      <c r="A826" s="131" t="s">
        <v>1082</v>
      </c>
      <c r="B826" s="100"/>
      <c r="C826" s="100"/>
      <c r="D826" s="100"/>
      <c r="E826" s="100"/>
      <c r="F826" s="100"/>
      <c r="G826" s="100"/>
      <c r="H826" s="100"/>
      <c r="I826" s="100"/>
      <c r="J826" s="100"/>
      <c r="K826" s="100"/>
      <c r="L826" s="100"/>
      <c r="M826" s="100"/>
      <c r="N826" s="100"/>
      <c r="O826" s="100"/>
      <c r="P826" s="100"/>
      <c r="Q826" s="100"/>
      <c r="R826" s="100"/>
      <c r="S826" s="100"/>
      <c r="T826" s="100"/>
      <c r="U826" s="100"/>
      <c r="V826" s="179"/>
      <c r="W826" s="140"/>
    </row>
    <row r="827" spans="1:23">
      <c r="A827" s="200" t="s">
        <v>679</v>
      </c>
      <c r="B827" s="52">
        <f t="shared" ref="B827:U827" si="1532">B73</f>
        <v>1.35E-2</v>
      </c>
      <c r="C827" s="52">
        <f t="shared" si="1532"/>
        <v>0</v>
      </c>
      <c r="D827" s="52">
        <f t="shared" si="1532"/>
        <v>0</v>
      </c>
      <c r="E827" s="52">
        <f t="shared" si="1532"/>
        <v>1.35E-2</v>
      </c>
      <c r="F827" s="52">
        <f t="shared" si="1532"/>
        <v>0</v>
      </c>
      <c r="G827" s="52">
        <f t="shared" si="1532"/>
        <v>0</v>
      </c>
      <c r="H827" s="52">
        <f t="shared" si="1532"/>
        <v>1.35E-2</v>
      </c>
      <c r="I827" s="52">
        <f t="shared" si="1532"/>
        <v>0</v>
      </c>
      <c r="J827" s="52">
        <f t="shared" si="1532"/>
        <v>0</v>
      </c>
      <c r="K827" s="52">
        <f t="shared" si="1532"/>
        <v>1.35E-2</v>
      </c>
      <c r="L827" s="52">
        <f t="shared" si="1532"/>
        <v>0</v>
      </c>
      <c r="M827" s="52">
        <f t="shared" si="1532"/>
        <v>0</v>
      </c>
      <c r="N827" s="52">
        <f t="shared" si="1532"/>
        <v>1.35E-2</v>
      </c>
      <c r="O827" s="52">
        <f t="shared" si="1532"/>
        <v>0</v>
      </c>
      <c r="P827" s="52">
        <f t="shared" si="1532"/>
        <v>0</v>
      </c>
      <c r="Q827" s="52">
        <f t="shared" si="1532"/>
        <v>1.35E-2</v>
      </c>
      <c r="R827" s="52">
        <f t="shared" si="1532"/>
        <v>0</v>
      </c>
      <c r="S827" s="52">
        <f t="shared" si="1532"/>
        <v>0</v>
      </c>
      <c r="T827" s="52">
        <f t="shared" si="1532"/>
        <v>1.35E-2</v>
      </c>
      <c r="U827" s="52">
        <f t="shared" si="1532"/>
        <v>0</v>
      </c>
      <c r="V827" s="180">
        <f>SUM(B827:U827)</f>
        <v>9.4500000000000001E-2</v>
      </c>
      <c r="W827" s="53">
        <f>V827/20</f>
        <v>4.725E-3</v>
      </c>
    </row>
    <row r="828" spans="1:23" s="3" customFormat="1">
      <c r="A828" s="200" t="s">
        <v>680</v>
      </c>
      <c r="B828" s="52">
        <f>('Scenario 2 Assumptions'!$B$279*('Scenario 2 Assumptions'!$B$291*0.5)/20)+B106</f>
        <v>2.3962500000000001E-2</v>
      </c>
      <c r="C828" s="52">
        <f>('Scenario 2 Assumptions'!$B$279*('Scenario 2 Assumptions'!$B$291*0.5)/20)+C106</f>
        <v>2.3962500000000001E-2</v>
      </c>
      <c r="D828" s="52">
        <f>('Scenario 2 Assumptions'!$B$279*('Scenario 2 Assumptions'!$B$291*0.5)/20)+D106</f>
        <v>2.3962500000000001E-2</v>
      </c>
      <c r="E828" s="52">
        <f>('Scenario 2 Assumptions'!$B$279*('Scenario 2 Assumptions'!$B$291*0.5)/20)+E106</f>
        <v>2.3962500000000001E-2</v>
      </c>
      <c r="F828" s="52">
        <f>('Scenario 2 Assumptions'!$B$279*('Scenario 2 Assumptions'!$B$291*0.5)/20)+F106</f>
        <v>2.3962500000000001E-2</v>
      </c>
      <c r="G828" s="52">
        <f>('Scenario 2 Assumptions'!$B$279*('Scenario 2 Assumptions'!$B$291*0.5)/20)+G106</f>
        <v>2.3962500000000001E-2</v>
      </c>
      <c r="H828" s="52">
        <f>('Scenario 2 Assumptions'!$B$279*('Scenario 2 Assumptions'!$B$291*0.5)/20)+H106</f>
        <v>2.3962500000000001E-2</v>
      </c>
      <c r="I828" s="52">
        <f>('Scenario 2 Assumptions'!$B$279*('Scenario 2 Assumptions'!$B$291*0.5)/20)+I106</f>
        <v>2.3962500000000001E-2</v>
      </c>
      <c r="J828" s="52">
        <f>('Scenario 2 Assumptions'!$B$279*('Scenario 2 Assumptions'!$B$291*0.5)/20)+J106</f>
        <v>2.3962500000000001E-2</v>
      </c>
      <c r="K828" s="52">
        <f>('Scenario 2 Assumptions'!$B$279*('Scenario 2 Assumptions'!$B$291*0.5)/20)+K106</f>
        <v>2.3962500000000001E-2</v>
      </c>
      <c r="L828" s="52">
        <f>('Scenario 2 Assumptions'!$B$279*('Scenario 2 Assumptions'!$B$291*0.5)/20)+L106</f>
        <v>2.3962500000000001E-2</v>
      </c>
      <c r="M828" s="52">
        <f>('Scenario 2 Assumptions'!$B$279*('Scenario 2 Assumptions'!$B$291*0.5)/20)+M106</f>
        <v>2.3962500000000001E-2</v>
      </c>
      <c r="N828" s="52">
        <f>('Scenario 2 Assumptions'!$B$279*('Scenario 2 Assumptions'!$B$291*0.5)/20)+N106</f>
        <v>2.3962500000000001E-2</v>
      </c>
      <c r="O828" s="52">
        <f>('Scenario 2 Assumptions'!$B$279*('Scenario 2 Assumptions'!$B$291*0.5)/20)+O106</f>
        <v>2.3962500000000001E-2</v>
      </c>
      <c r="P828" s="52">
        <f>('Scenario 2 Assumptions'!$B$279*('Scenario 2 Assumptions'!$B$291*0.5)/20)+P106</f>
        <v>2.3962500000000001E-2</v>
      </c>
      <c r="Q828" s="52">
        <f>('Scenario 2 Assumptions'!$B$279*('Scenario 2 Assumptions'!$B$291*0.5)/20)+Q106</f>
        <v>2.3962500000000001E-2</v>
      </c>
      <c r="R828" s="52">
        <f>('Scenario 2 Assumptions'!$B$279*('Scenario 2 Assumptions'!$B$291*0.5)/20)+R106</f>
        <v>2.3962500000000001E-2</v>
      </c>
      <c r="S828" s="52">
        <f>('Scenario 2 Assumptions'!$B$279*('Scenario 2 Assumptions'!$B$291*0.5)/20)+S106</f>
        <v>2.3962500000000001E-2</v>
      </c>
      <c r="T828" s="52">
        <f>('Scenario 2 Assumptions'!$B$279*('Scenario 2 Assumptions'!$B$291*0.5)/20)+T106</f>
        <v>2.3962500000000001E-2</v>
      </c>
      <c r="U828" s="52">
        <f>('Scenario 2 Assumptions'!$B$279*('Scenario 2 Assumptions'!$B$291*0.5)/20)+U106</f>
        <v>2.3962500000000001E-2</v>
      </c>
      <c r="V828" s="180">
        <f t="shared" ref="V828:V829" si="1533">SUM(B828:U828)</f>
        <v>0.47925000000000001</v>
      </c>
      <c r="W828" s="53">
        <f t="shared" ref="W828:W829" si="1534">V828/20</f>
        <v>2.3962500000000001E-2</v>
      </c>
    </row>
    <row r="829" spans="1:23" ht="13.5" customHeight="1">
      <c r="A829" s="49" t="s">
        <v>664</v>
      </c>
      <c r="B829" s="34">
        <f>SUM(B827:B828)</f>
        <v>3.7462500000000003E-2</v>
      </c>
      <c r="C829" s="34">
        <f t="shared" ref="C829" si="1535">SUM(C827:C828)</f>
        <v>2.3962500000000001E-2</v>
      </c>
      <c r="D829" s="34">
        <f t="shared" ref="D829" si="1536">SUM(D827:D828)</f>
        <v>2.3962500000000001E-2</v>
      </c>
      <c r="E829" s="34">
        <f t="shared" ref="E829" si="1537">SUM(E827:E828)</f>
        <v>3.7462500000000003E-2</v>
      </c>
      <c r="F829" s="34">
        <f t="shared" ref="F829" si="1538">SUM(F827:F828)</f>
        <v>2.3962500000000001E-2</v>
      </c>
      <c r="G829" s="34">
        <f t="shared" ref="G829" si="1539">SUM(G827:G828)</f>
        <v>2.3962500000000001E-2</v>
      </c>
      <c r="H829" s="34">
        <f t="shared" ref="H829" si="1540">SUM(H827:H828)</f>
        <v>3.7462500000000003E-2</v>
      </c>
      <c r="I829" s="34">
        <f t="shared" ref="I829" si="1541">SUM(I827:I828)</f>
        <v>2.3962500000000001E-2</v>
      </c>
      <c r="J829" s="34">
        <f t="shared" ref="J829" si="1542">SUM(J827:J828)</f>
        <v>2.3962500000000001E-2</v>
      </c>
      <c r="K829" s="34">
        <f t="shared" ref="K829" si="1543">SUM(K827:K828)</f>
        <v>3.7462500000000003E-2</v>
      </c>
      <c r="L829" s="34">
        <f t="shared" ref="L829" si="1544">SUM(L827:L828)</f>
        <v>2.3962500000000001E-2</v>
      </c>
      <c r="M829" s="34">
        <f t="shared" ref="M829" si="1545">SUM(M827:M828)</f>
        <v>2.3962500000000001E-2</v>
      </c>
      <c r="N829" s="34">
        <f t="shared" ref="N829" si="1546">SUM(N827:N828)</f>
        <v>3.7462500000000003E-2</v>
      </c>
      <c r="O829" s="34">
        <f t="shared" ref="O829" si="1547">SUM(O827:O828)</f>
        <v>2.3962500000000001E-2</v>
      </c>
      <c r="P829" s="34">
        <f t="shared" ref="P829" si="1548">SUM(P827:P828)</f>
        <v>2.3962500000000001E-2</v>
      </c>
      <c r="Q829" s="34">
        <f t="shared" ref="Q829" si="1549">SUM(Q827:Q828)</f>
        <v>3.7462500000000003E-2</v>
      </c>
      <c r="R829" s="34">
        <f t="shared" ref="R829" si="1550">SUM(R827:R828)</f>
        <v>2.3962500000000001E-2</v>
      </c>
      <c r="S829" s="34">
        <f t="shared" ref="S829" si="1551">SUM(S827:S828)</f>
        <v>2.3962500000000001E-2</v>
      </c>
      <c r="T829" s="34">
        <f t="shared" ref="T829" si="1552">SUM(T827:T828)</f>
        <v>3.7462500000000003E-2</v>
      </c>
      <c r="U829" s="34">
        <f t="shared" ref="U829" si="1553">SUM(U827:U828)</f>
        <v>2.3962500000000001E-2</v>
      </c>
      <c r="V829" s="180">
        <f t="shared" si="1533"/>
        <v>0.57374999999999998</v>
      </c>
      <c r="W829" s="53">
        <f t="shared" si="1534"/>
        <v>2.8687499999999998E-2</v>
      </c>
    </row>
    <row r="830" spans="1:23" s="81" customFormat="1">
      <c r="A830" s="134" t="s">
        <v>123</v>
      </c>
      <c r="B830" s="52">
        <v>0.96618357487922713</v>
      </c>
      <c r="C830" s="52">
        <v>0.93351070036640305</v>
      </c>
      <c r="D830" s="52">
        <v>0.90194270566802237</v>
      </c>
      <c r="E830" s="52">
        <v>0.87144222769857238</v>
      </c>
      <c r="F830" s="52">
        <v>0.84197316685852419</v>
      </c>
      <c r="G830" s="52">
        <v>0.81350064430775282</v>
      </c>
      <c r="H830" s="52">
        <v>0.78599096068381913</v>
      </c>
      <c r="I830" s="52">
        <v>0.75941155621625056</v>
      </c>
      <c r="J830" s="52">
        <v>0.73373097218961414</v>
      </c>
      <c r="K830" s="52">
        <v>0.70891881370977217</v>
      </c>
      <c r="L830" s="52">
        <v>0.68494571372924851</v>
      </c>
      <c r="M830" s="52">
        <v>0.66178329828912896</v>
      </c>
      <c r="N830" s="52">
        <v>0.63940415293635666</v>
      </c>
      <c r="O830" s="52">
        <v>0.61778179027667302</v>
      </c>
      <c r="P830" s="52">
        <v>0.59689061862480497</v>
      </c>
      <c r="Q830" s="52">
        <v>0.57670591171478747</v>
      </c>
      <c r="R830" s="52">
        <v>0.55720377943457733</v>
      </c>
      <c r="S830" s="52">
        <v>0.53836113955031628</v>
      </c>
      <c r="T830" s="52">
        <v>0.52015569038677911</v>
      </c>
      <c r="U830" s="52">
        <v>0.50256588443167061</v>
      </c>
      <c r="V830" s="180"/>
      <c r="W830" s="133"/>
    </row>
    <row r="831" spans="1:23" s="81" customFormat="1">
      <c r="A831" s="50" t="s">
        <v>1069</v>
      </c>
      <c r="B831" s="34">
        <f t="shared" ref="B831:U831" si="1554">B830*B829</f>
        <v>3.6195652173913045E-2</v>
      </c>
      <c r="C831" s="34">
        <f t="shared" si="1554"/>
        <v>2.2369250157529934E-2</v>
      </c>
      <c r="D831" s="34">
        <f t="shared" si="1554"/>
        <v>2.1612802084569987E-2</v>
      </c>
      <c r="E831" s="34">
        <f t="shared" si="1554"/>
        <v>3.264640445515777E-2</v>
      </c>
      <c r="F831" s="34">
        <f t="shared" si="1554"/>
        <v>2.0175782010847385E-2</v>
      </c>
      <c r="G831" s="34">
        <f t="shared" si="1554"/>
        <v>1.9493509189224528E-2</v>
      </c>
      <c r="H831" s="34">
        <f t="shared" si="1554"/>
        <v>2.9445186364617577E-2</v>
      </c>
      <c r="I831" s="34">
        <f t="shared" si="1554"/>
        <v>1.8197399415831907E-2</v>
      </c>
      <c r="J831" s="34">
        <f t="shared" si="1554"/>
        <v>1.7582028421093628E-2</v>
      </c>
      <c r="K831" s="34">
        <f t="shared" si="1554"/>
        <v>2.6557871058602342E-2</v>
      </c>
      <c r="L831" s="34">
        <f t="shared" si="1554"/>
        <v>1.6413011665237117E-2</v>
      </c>
      <c r="M831" s="34">
        <f t="shared" si="1554"/>
        <v>1.5857982285253255E-2</v>
      </c>
      <c r="N831" s="34">
        <f t="shared" si="1554"/>
        <v>2.3953678079378263E-2</v>
      </c>
      <c r="O831" s="34">
        <f t="shared" si="1554"/>
        <v>1.4803596149504777E-2</v>
      </c>
      <c r="P831" s="34">
        <f t="shared" si="1554"/>
        <v>1.430299144879689E-2</v>
      </c>
      <c r="Q831" s="34">
        <f t="shared" si="1554"/>
        <v>2.1604845217615225E-2</v>
      </c>
      <c r="R831" s="34">
        <f t="shared" si="1554"/>
        <v>1.335199556470106E-2</v>
      </c>
      <c r="S831" s="34">
        <f t="shared" si="1554"/>
        <v>1.2900478806474455E-2</v>
      </c>
      <c r="T831" s="34">
        <f t="shared" si="1554"/>
        <v>1.9486332551114715E-2</v>
      </c>
      <c r="U831" s="34">
        <f t="shared" si="1554"/>
        <v>1.2042735005693908E-2</v>
      </c>
      <c r="V831" s="182">
        <f>SUM(B831:U831)</f>
        <v>0.40899353210515771</v>
      </c>
      <c r="W831" s="35"/>
    </row>
    <row r="832" spans="1:23">
      <c r="A832" s="49"/>
      <c r="B832" s="34"/>
      <c r="C832" s="34"/>
      <c r="D832" s="34"/>
      <c r="E832" s="34"/>
      <c r="F832" s="34"/>
      <c r="G832" s="34"/>
      <c r="H832" s="34"/>
      <c r="I832" s="34"/>
      <c r="J832" s="34"/>
      <c r="K832" s="34"/>
      <c r="L832" s="34"/>
      <c r="M832" s="34"/>
      <c r="N832" s="34"/>
      <c r="O832" s="34"/>
      <c r="P832" s="34"/>
      <c r="Q832" s="34"/>
      <c r="R832" s="34"/>
      <c r="S832" s="34"/>
      <c r="T832" s="34"/>
      <c r="U832" s="34"/>
      <c r="V832" s="182"/>
      <c r="W832" s="35"/>
    </row>
    <row r="833" spans="1:23" s="99" customFormat="1">
      <c r="A833" s="131" t="s">
        <v>1081</v>
      </c>
      <c r="B833" s="100"/>
      <c r="C833" s="100"/>
      <c r="D833" s="100"/>
      <c r="E833" s="100"/>
      <c r="F833" s="100"/>
      <c r="G833" s="100"/>
      <c r="H833" s="100"/>
      <c r="I833" s="100"/>
      <c r="J833" s="100"/>
      <c r="K833" s="100"/>
      <c r="L833" s="100"/>
      <c r="M833" s="100"/>
      <c r="N833" s="100"/>
      <c r="O833" s="100"/>
      <c r="P833" s="100"/>
      <c r="Q833" s="100"/>
      <c r="R833" s="100"/>
      <c r="S833" s="100"/>
      <c r="T833" s="100"/>
      <c r="U833" s="100"/>
      <c r="V833" s="179"/>
      <c r="W833" s="132"/>
    </row>
    <row r="834" spans="1:23" s="99" customFormat="1">
      <c r="A834" s="200" t="s">
        <v>679</v>
      </c>
      <c r="B834" s="52">
        <f t="shared" ref="B834:U834" si="1555">B74</f>
        <v>1.35E-2</v>
      </c>
      <c r="C834" s="52">
        <f t="shared" si="1555"/>
        <v>0</v>
      </c>
      <c r="D834" s="52">
        <f t="shared" si="1555"/>
        <v>0</v>
      </c>
      <c r="E834" s="52">
        <f t="shared" si="1555"/>
        <v>1.35E-2</v>
      </c>
      <c r="F834" s="52">
        <f t="shared" si="1555"/>
        <v>0</v>
      </c>
      <c r="G834" s="52">
        <f t="shared" si="1555"/>
        <v>0</v>
      </c>
      <c r="H834" s="52">
        <f t="shared" si="1555"/>
        <v>1.35E-2</v>
      </c>
      <c r="I834" s="52">
        <f t="shared" si="1555"/>
        <v>0</v>
      </c>
      <c r="J834" s="52">
        <f t="shared" si="1555"/>
        <v>0</v>
      </c>
      <c r="K834" s="52">
        <f t="shared" si="1555"/>
        <v>1.35E-2</v>
      </c>
      <c r="L834" s="52">
        <f t="shared" si="1555"/>
        <v>0</v>
      </c>
      <c r="M834" s="52">
        <f t="shared" si="1555"/>
        <v>0</v>
      </c>
      <c r="N834" s="52">
        <f t="shared" si="1555"/>
        <v>1.35E-2</v>
      </c>
      <c r="O834" s="52">
        <f t="shared" si="1555"/>
        <v>0</v>
      </c>
      <c r="P834" s="52">
        <f t="shared" si="1555"/>
        <v>0</v>
      </c>
      <c r="Q834" s="52">
        <f t="shared" si="1555"/>
        <v>1.35E-2</v>
      </c>
      <c r="R834" s="52">
        <f t="shared" si="1555"/>
        <v>0</v>
      </c>
      <c r="S834" s="52">
        <f t="shared" si="1555"/>
        <v>0</v>
      </c>
      <c r="T834" s="52">
        <f t="shared" si="1555"/>
        <v>1.35E-2</v>
      </c>
      <c r="U834" s="52">
        <f t="shared" si="1555"/>
        <v>0</v>
      </c>
      <c r="V834" s="180">
        <f>SUM(B834:U834)</f>
        <v>9.4500000000000001E-2</v>
      </c>
      <c r="W834" s="133">
        <f>V834/20</f>
        <v>4.725E-3</v>
      </c>
    </row>
    <row r="835" spans="1:23" s="20" customFormat="1">
      <c r="A835" s="200" t="s">
        <v>680</v>
      </c>
      <c r="B835" s="52">
        <f>('Scenario 2 Assumptions'!$B$279*('Scenario 2 Assumptions'!$B$317*0.5)/20)+B109</f>
        <v>8.656875E-2</v>
      </c>
      <c r="C835" s="52">
        <f>('Scenario 2 Assumptions'!$B$279*('Scenario 2 Assumptions'!$B$317*0.5)/20)+C109</f>
        <v>8.656875E-2</v>
      </c>
      <c r="D835" s="52">
        <f>('Scenario 2 Assumptions'!$B$279*('Scenario 2 Assumptions'!$B$317*0.5)/20)+D109</f>
        <v>8.656875E-2</v>
      </c>
      <c r="E835" s="52">
        <f>('Scenario 2 Assumptions'!$B$279*('Scenario 2 Assumptions'!$B$317*0.5)/20)+E109</f>
        <v>8.656875E-2</v>
      </c>
      <c r="F835" s="52">
        <f>('Scenario 2 Assumptions'!$B$279*('Scenario 2 Assumptions'!$B$317*0.5)/20)+F109</f>
        <v>8.656875E-2</v>
      </c>
      <c r="G835" s="52">
        <f>('Scenario 2 Assumptions'!$B$279*('Scenario 2 Assumptions'!$B$317*0.5)/20)+G109</f>
        <v>8.656875E-2</v>
      </c>
      <c r="H835" s="52">
        <f>('Scenario 2 Assumptions'!$B$279*('Scenario 2 Assumptions'!$B$317*0.5)/20)+H109</f>
        <v>8.656875E-2</v>
      </c>
      <c r="I835" s="52">
        <f>('Scenario 2 Assumptions'!$B$279*('Scenario 2 Assumptions'!$B$317*0.5)/20)+I109</f>
        <v>8.656875E-2</v>
      </c>
      <c r="J835" s="52">
        <f>('Scenario 2 Assumptions'!$B$279*('Scenario 2 Assumptions'!$B$317*0.5)/20)+J109</f>
        <v>8.656875E-2</v>
      </c>
      <c r="K835" s="52">
        <f>('Scenario 2 Assumptions'!$B$279*('Scenario 2 Assumptions'!$B$317*0.5)/20)+K109</f>
        <v>8.656875E-2</v>
      </c>
      <c r="L835" s="52">
        <f>('Scenario 2 Assumptions'!$B$279*('Scenario 2 Assumptions'!$B$317*0.5)/20)+L109</f>
        <v>8.656875E-2</v>
      </c>
      <c r="M835" s="52">
        <f>('Scenario 2 Assumptions'!$B$279*('Scenario 2 Assumptions'!$B$317*0.5)/20)+M109</f>
        <v>8.656875E-2</v>
      </c>
      <c r="N835" s="52">
        <f>('Scenario 2 Assumptions'!$B$279*('Scenario 2 Assumptions'!$B$317*0.5)/20)+N109</f>
        <v>8.656875E-2</v>
      </c>
      <c r="O835" s="52">
        <f>('Scenario 2 Assumptions'!$B$279*('Scenario 2 Assumptions'!$B$317*0.5)/20)+O109</f>
        <v>8.656875E-2</v>
      </c>
      <c r="P835" s="52">
        <f>('Scenario 2 Assumptions'!$B$279*('Scenario 2 Assumptions'!$B$317*0.5)/20)+P109</f>
        <v>8.656875E-2</v>
      </c>
      <c r="Q835" s="52">
        <f>('Scenario 2 Assumptions'!$B$279*('Scenario 2 Assumptions'!$B$317*0.5)/20)+Q109</f>
        <v>8.656875E-2</v>
      </c>
      <c r="R835" s="52">
        <f>('Scenario 2 Assumptions'!$B$279*('Scenario 2 Assumptions'!$B$317*0.5)/20)+R109</f>
        <v>8.656875E-2</v>
      </c>
      <c r="S835" s="52">
        <f>('Scenario 2 Assumptions'!$B$279*('Scenario 2 Assumptions'!$B$317*0.5)/20)+S109</f>
        <v>8.656875E-2</v>
      </c>
      <c r="T835" s="52">
        <f>('Scenario 2 Assumptions'!$B$279*('Scenario 2 Assumptions'!$B$317*0.5)/20)+T109</f>
        <v>8.656875E-2</v>
      </c>
      <c r="U835" s="52">
        <f>('Scenario 2 Assumptions'!$B$279*('Scenario 2 Assumptions'!$B$317*0.5)/20)+U109</f>
        <v>8.656875E-2</v>
      </c>
      <c r="V835" s="180">
        <f t="shared" ref="V835:V836" si="1556">SUM(B835:U835)</f>
        <v>1.7313750000000006</v>
      </c>
      <c r="W835" s="133">
        <f t="shared" ref="W835:W836" si="1557">V835/20</f>
        <v>8.6568750000000028E-2</v>
      </c>
    </row>
    <row r="836" spans="1:23" s="99" customFormat="1" ht="13.5" customHeight="1">
      <c r="A836" s="49" t="s">
        <v>664</v>
      </c>
      <c r="B836" s="34">
        <f>SUM(B834:B835)</f>
        <v>0.10006875</v>
      </c>
      <c r="C836" s="34">
        <f t="shared" ref="C836" si="1558">SUM(C834:C835)</f>
        <v>8.656875E-2</v>
      </c>
      <c r="D836" s="34">
        <f t="shared" ref="D836" si="1559">SUM(D834:D835)</f>
        <v>8.656875E-2</v>
      </c>
      <c r="E836" s="34">
        <f t="shared" ref="E836" si="1560">SUM(E834:E835)</f>
        <v>0.10006875</v>
      </c>
      <c r="F836" s="34">
        <f t="shared" ref="F836" si="1561">SUM(F834:F835)</f>
        <v>8.656875E-2</v>
      </c>
      <c r="G836" s="34">
        <f t="shared" ref="G836" si="1562">SUM(G834:G835)</f>
        <v>8.656875E-2</v>
      </c>
      <c r="H836" s="34">
        <f t="shared" ref="H836" si="1563">SUM(H834:H835)</f>
        <v>0.10006875</v>
      </c>
      <c r="I836" s="34">
        <f t="shared" ref="I836" si="1564">SUM(I834:I835)</f>
        <v>8.656875E-2</v>
      </c>
      <c r="J836" s="34">
        <f t="shared" ref="J836" si="1565">SUM(J834:J835)</f>
        <v>8.656875E-2</v>
      </c>
      <c r="K836" s="34">
        <f t="shared" ref="K836" si="1566">SUM(K834:K835)</f>
        <v>0.10006875</v>
      </c>
      <c r="L836" s="34">
        <f t="shared" ref="L836" si="1567">SUM(L834:L835)</f>
        <v>8.656875E-2</v>
      </c>
      <c r="M836" s="34">
        <f t="shared" ref="M836" si="1568">SUM(M834:M835)</f>
        <v>8.656875E-2</v>
      </c>
      <c r="N836" s="34">
        <f t="shared" ref="N836" si="1569">SUM(N834:N835)</f>
        <v>0.10006875</v>
      </c>
      <c r="O836" s="34">
        <f t="shared" ref="O836" si="1570">SUM(O834:O835)</f>
        <v>8.656875E-2</v>
      </c>
      <c r="P836" s="34">
        <f t="shared" ref="P836" si="1571">SUM(P834:P835)</f>
        <v>8.656875E-2</v>
      </c>
      <c r="Q836" s="34">
        <f t="shared" ref="Q836" si="1572">SUM(Q834:Q835)</f>
        <v>0.10006875</v>
      </c>
      <c r="R836" s="34">
        <f t="shared" ref="R836" si="1573">SUM(R834:R835)</f>
        <v>8.656875E-2</v>
      </c>
      <c r="S836" s="34">
        <f t="shared" ref="S836" si="1574">SUM(S834:S835)</f>
        <v>8.656875E-2</v>
      </c>
      <c r="T836" s="34">
        <f t="shared" ref="T836" si="1575">SUM(T834:T835)</f>
        <v>0.10006875</v>
      </c>
      <c r="U836" s="34">
        <f t="shared" ref="U836" si="1576">SUM(U834:U835)</f>
        <v>8.656875E-2</v>
      </c>
      <c r="V836" s="180">
        <f t="shared" si="1556"/>
        <v>1.8258750000000004</v>
      </c>
      <c r="W836" s="133">
        <f t="shared" si="1557"/>
        <v>9.1293750000000021E-2</v>
      </c>
    </row>
    <row r="837" spans="1:23" s="100" customFormat="1">
      <c r="A837" s="134" t="s">
        <v>123</v>
      </c>
      <c r="B837" s="52">
        <v>0.96618357487922713</v>
      </c>
      <c r="C837" s="52">
        <v>0.93351070036640305</v>
      </c>
      <c r="D837" s="52">
        <v>0.90194270566802237</v>
      </c>
      <c r="E837" s="52">
        <v>0.87144222769857238</v>
      </c>
      <c r="F837" s="52">
        <v>0.84197316685852419</v>
      </c>
      <c r="G837" s="52">
        <v>0.81350064430775282</v>
      </c>
      <c r="H837" s="52">
        <v>0.78599096068381913</v>
      </c>
      <c r="I837" s="52">
        <v>0.75941155621625056</v>
      </c>
      <c r="J837" s="52">
        <v>0.73373097218961414</v>
      </c>
      <c r="K837" s="52">
        <v>0.70891881370977217</v>
      </c>
      <c r="L837" s="52">
        <v>0.68494571372924851</v>
      </c>
      <c r="M837" s="52">
        <v>0.66178329828912896</v>
      </c>
      <c r="N837" s="52">
        <v>0.63940415293635666</v>
      </c>
      <c r="O837" s="52">
        <v>0.61778179027667302</v>
      </c>
      <c r="P837" s="52">
        <v>0.59689061862480497</v>
      </c>
      <c r="Q837" s="52">
        <v>0.57670591171478747</v>
      </c>
      <c r="R837" s="52">
        <v>0.55720377943457733</v>
      </c>
      <c r="S837" s="52">
        <v>0.53836113955031628</v>
      </c>
      <c r="T837" s="52">
        <v>0.52015569038677911</v>
      </c>
      <c r="U837" s="52">
        <v>0.50256588443167061</v>
      </c>
      <c r="V837" s="180"/>
      <c r="W837" s="133"/>
    </row>
    <row r="838" spans="1:23" s="100" customFormat="1">
      <c r="A838" s="50" t="s">
        <v>1069</v>
      </c>
      <c r="B838" s="34">
        <f t="shared" ref="B838:U838" si="1577">B837*B836</f>
        <v>9.668478260869566E-2</v>
      </c>
      <c r="C838" s="34">
        <f t="shared" si="1577"/>
        <v>8.0812854442344054E-2</v>
      </c>
      <c r="D838" s="34">
        <f t="shared" si="1577"/>
        <v>7.8080052601298605E-2</v>
      </c>
      <c r="E838" s="34">
        <f t="shared" si="1577"/>
        <v>8.7204134423011517E-2</v>
      </c>
      <c r="F838" s="34">
        <f t="shared" si="1577"/>
        <v>7.2888564588483862E-2</v>
      </c>
      <c r="G838" s="34">
        <f t="shared" si="1577"/>
        <v>7.042373390191678E-2</v>
      </c>
      <c r="H838" s="34">
        <f t="shared" si="1577"/>
        <v>7.8653132946928925E-2</v>
      </c>
      <c r="I838" s="34">
        <f t="shared" si="1577"/>
        <v>6.5741309157195546E-2</v>
      </c>
      <c r="J838" s="34">
        <f t="shared" si="1577"/>
        <v>6.3518173098739653E-2</v>
      </c>
      <c r="K838" s="34">
        <f t="shared" si="1577"/>
        <v>7.0940619539419755E-2</v>
      </c>
      <c r="L838" s="34">
        <f t="shared" si="1577"/>
        <v>5.9294894255398883E-2</v>
      </c>
      <c r="M838" s="34">
        <f t="shared" si="1577"/>
        <v>5.7289752903767033E-2</v>
      </c>
      <c r="N838" s="34">
        <f t="shared" si="1577"/>
        <v>6.3984374329150037E-2</v>
      </c>
      <c r="O838" s="34">
        <f t="shared" si="1577"/>
        <v>5.3480597357013736E-2</v>
      </c>
      <c r="P838" s="34">
        <f t="shared" si="1577"/>
        <v>5.1672074741076088E-2</v>
      </c>
      <c r="Q838" s="34">
        <f t="shared" si="1577"/>
        <v>5.7710239702909137E-2</v>
      </c>
      <c r="R838" s="34">
        <f t="shared" si="1577"/>
        <v>4.8236434680927066E-2</v>
      </c>
      <c r="S838" s="34">
        <f t="shared" si="1577"/>
        <v>4.6605250899446442E-2</v>
      </c>
      <c r="T838" s="34">
        <f t="shared" si="1577"/>
        <v>5.2051329742392002E-2</v>
      </c>
      <c r="U838" s="34">
        <f t="shared" si="1577"/>
        <v>4.3506500407894187E-2</v>
      </c>
      <c r="V838" s="182">
        <f>SUM(B838:U838)</f>
        <v>1.2987788063280088</v>
      </c>
      <c r="W838" s="35"/>
    </row>
    <row r="839" spans="1:23">
      <c r="A839" s="49"/>
      <c r="B839" s="34"/>
      <c r="C839" s="34"/>
      <c r="D839" s="34"/>
      <c r="E839" s="34"/>
      <c r="F839" s="34"/>
      <c r="G839" s="34"/>
      <c r="H839" s="34"/>
      <c r="I839" s="34"/>
      <c r="J839" s="34"/>
      <c r="K839" s="34"/>
      <c r="L839" s="34"/>
      <c r="M839" s="34"/>
      <c r="N839" s="34"/>
      <c r="O839" s="34"/>
      <c r="P839" s="34"/>
      <c r="Q839" s="34"/>
      <c r="R839" s="34"/>
      <c r="S839" s="34"/>
      <c r="T839" s="34"/>
      <c r="U839" s="34"/>
      <c r="V839" s="182"/>
      <c r="W839" s="35"/>
    </row>
    <row r="840" spans="1:23">
      <c r="A840" s="131" t="s">
        <v>1080</v>
      </c>
      <c r="B840" s="100"/>
      <c r="C840" s="100"/>
      <c r="D840" s="100"/>
      <c r="E840" s="100"/>
      <c r="F840" s="100"/>
      <c r="G840" s="100"/>
      <c r="H840" s="100"/>
      <c r="I840" s="100"/>
      <c r="J840" s="100"/>
      <c r="K840" s="100"/>
      <c r="L840" s="100"/>
      <c r="M840" s="100"/>
      <c r="N840" s="100"/>
      <c r="O840" s="100"/>
      <c r="P840" s="100"/>
      <c r="Q840" s="100"/>
      <c r="R840" s="100"/>
      <c r="S840" s="100"/>
      <c r="T840" s="100"/>
      <c r="U840" s="100"/>
      <c r="V840" s="179"/>
      <c r="W840" s="140"/>
    </row>
    <row r="841" spans="1:23">
      <c r="A841" s="200" t="s">
        <v>679</v>
      </c>
      <c r="B841" s="52">
        <f t="shared" ref="B841:U841" si="1578">B76</f>
        <v>6.7499999999999999E-3</v>
      </c>
      <c r="C841" s="52">
        <f t="shared" si="1578"/>
        <v>0</v>
      </c>
      <c r="D841" s="52">
        <f t="shared" si="1578"/>
        <v>0</v>
      </c>
      <c r="E841" s="52">
        <f t="shared" si="1578"/>
        <v>6.7499999999999999E-3</v>
      </c>
      <c r="F841" s="52">
        <f t="shared" si="1578"/>
        <v>0</v>
      </c>
      <c r="G841" s="52">
        <f t="shared" si="1578"/>
        <v>0</v>
      </c>
      <c r="H841" s="52">
        <f t="shared" si="1578"/>
        <v>6.7499999999999999E-3</v>
      </c>
      <c r="I841" s="52">
        <f t="shared" si="1578"/>
        <v>0</v>
      </c>
      <c r="J841" s="52">
        <f t="shared" si="1578"/>
        <v>0</v>
      </c>
      <c r="K841" s="52">
        <f t="shared" si="1578"/>
        <v>6.7499999999999999E-3</v>
      </c>
      <c r="L841" s="52">
        <f t="shared" si="1578"/>
        <v>0</v>
      </c>
      <c r="M841" s="52">
        <f t="shared" si="1578"/>
        <v>0</v>
      </c>
      <c r="N841" s="52">
        <f t="shared" si="1578"/>
        <v>6.7499999999999999E-3</v>
      </c>
      <c r="O841" s="52">
        <f t="shared" si="1578"/>
        <v>0</v>
      </c>
      <c r="P841" s="52">
        <f t="shared" si="1578"/>
        <v>0</v>
      </c>
      <c r="Q841" s="52">
        <f t="shared" si="1578"/>
        <v>6.7499999999999999E-3</v>
      </c>
      <c r="R841" s="52">
        <f t="shared" si="1578"/>
        <v>0</v>
      </c>
      <c r="S841" s="52">
        <f t="shared" si="1578"/>
        <v>0</v>
      </c>
      <c r="T841" s="52">
        <f t="shared" si="1578"/>
        <v>6.7499999999999999E-3</v>
      </c>
      <c r="U841" s="52">
        <f t="shared" si="1578"/>
        <v>0</v>
      </c>
      <c r="V841" s="180">
        <f>SUM(B841:U841)</f>
        <v>4.725E-2</v>
      </c>
      <c r="W841" s="53">
        <f>V841/20</f>
        <v>2.3625E-3</v>
      </c>
    </row>
    <row r="842" spans="1:23" s="3" customFormat="1">
      <c r="A842" s="200" t="s">
        <v>680</v>
      </c>
      <c r="B842" s="52">
        <f>('Scenario 2 Assumptions'!$B$279*('Scenario 2 Assumptions'!$B$292*0.5)/20)</f>
        <v>6.7500000000000004E-4</v>
      </c>
      <c r="C842" s="52">
        <f>('Scenario 2 Assumptions'!$B$279*('Scenario 2 Assumptions'!$B$292*0.5)/20)</f>
        <v>6.7500000000000004E-4</v>
      </c>
      <c r="D842" s="52">
        <f>('Scenario 2 Assumptions'!$B$279*('Scenario 2 Assumptions'!$B$292*0.5)/20)</f>
        <v>6.7500000000000004E-4</v>
      </c>
      <c r="E842" s="52">
        <f>('Scenario 2 Assumptions'!$B$279*('Scenario 2 Assumptions'!$B$292*0.5)/20)</f>
        <v>6.7500000000000004E-4</v>
      </c>
      <c r="F842" s="52">
        <f>('Scenario 2 Assumptions'!$B$279*('Scenario 2 Assumptions'!$B$292*0.5)/20)</f>
        <v>6.7500000000000004E-4</v>
      </c>
      <c r="G842" s="52">
        <f>('Scenario 2 Assumptions'!$B$279*('Scenario 2 Assumptions'!$B$292*0.5)/20)</f>
        <v>6.7500000000000004E-4</v>
      </c>
      <c r="H842" s="52">
        <f>('Scenario 2 Assumptions'!$B$279*('Scenario 2 Assumptions'!$B$292*0.5)/20)</f>
        <v>6.7500000000000004E-4</v>
      </c>
      <c r="I842" s="52">
        <f>('Scenario 2 Assumptions'!$B$279*('Scenario 2 Assumptions'!$B$292*0.5)/20)</f>
        <v>6.7500000000000004E-4</v>
      </c>
      <c r="J842" s="52">
        <f>('Scenario 2 Assumptions'!$B$279*('Scenario 2 Assumptions'!$B$292*0.5)/20)</f>
        <v>6.7500000000000004E-4</v>
      </c>
      <c r="K842" s="52">
        <f>('Scenario 2 Assumptions'!$B$279*('Scenario 2 Assumptions'!$B$292*0.5)/20)</f>
        <v>6.7500000000000004E-4</v>
      </c>
      <c r="L842" s="52">
        <f>('Scenario 2 Assumptions'!$B$279*('Scenario 2 Assumptions'!$B$292*0.5)/20)</f>
        <v>6.7500000000000004E-4</v>
      </c>
      <c r="M842" s="52">
        <f>('Scenario 2 Assumptions'!$B$279*('Scenario 2 Assumptions'!$B$292*0.5)/20)</f>
        <v>6.7500000000000004E-4</v>
      </c>
      <c r="N842" s="52">
        <f>('Scenario 2 Assumptions'!$B$279*('Scenario 2 Assumptions'!$B$292*0.5)/20)</f>
        <v>6.7500000000000004E-4</v>
      </c>
      <c r="O842" s="52">
        <f>('Scenario 2 Assumptions'!$B$279*('Scenario 2 Assumptions'!$B$292*0.5)/20)</f>
        <v>6.7500000000000004E-4</v>
      </c>
      <c r="P842" s="52">
        <f>('Scenario 2 Assumptions'!$B$279*('Scenario 2 Assumptions'!$B$292*0.5)/20)</f>
        <v>6.7500000000000004E-4</v>
      </c>
      <c r="Q842" s="52">
        <f>('Scenario 2 Assumptions'!$B$279*('Scenario 2 Assumptions'!$B$292*0.5)/20)</f>
        <v>6.7500000000000004E-4</v>
      </c>
      <c r="R842" s="52">
        <f>('Scenario 2 Assumptions'!$B$279*('Scenario 2 Assumptions'!$B$292*0.5)/20)</f>
        <v>6.7500000000000004E-4</v>
      </c>
      <c r="S842" s="52">
        <f>('Scenario 2 Assumptions'!$B$279*('Scenario 2 Assumptions'!$B$292*0.5)/20)</f>
        <v>6.7500000000000004E-4</v>
      </c>
      <c r="T842" s="52">
        <f>('Scenario 2 Assumptions'!$B$279*('Scenario 2 Assumptions'!$B$292*0.5)/20)</f>
        <v>6.7500000000000004E-4</v>
      </c>
      <c r="U842" s="52">
        <f>('Scenario 2 Assumptions'!$B$279*('Scenario 2 Assumptions'!$B$292*0.5)/20)</f>
        <v>6.7500000000000004E-4</v>
      </c>
      <c r="V842" s="180">
        <f t="shared" ref="V842:V843" si="1579">SUM(B842:U842)</f>
        <v>1.3500000000000003E-2</v>
      </c>
      <c r="W842" s="53">
        <f t="shared" ref="W842:W843" si="1580">V842/20</f>
        <v>6.7500000000000014E-4</v>
      </c>
    </row>
    <row r="843" spans="1:23" ht="13.5" customHeight="1">
      <c r="A843" s="49" t="s">
        <v>664</v>
      </c>
      <c r="B843" s="34">
        <f>SUM(B841:B842)</f>
        <v>7.4250000000000002E-3</v>
      </c>
      <c r="C843" s="34">
        <f t="shared" ref="C843" si="1581">SUM(C841:C842)</f>
        <v>6.7500000000000004E-4</v>
      </c>
      <c r="D843" s="34">
        <f t="shared" ref="D843" si="1582">SUM(D841:D842)</f>
        <v>6.7500000000000004E-4</v>
      </c>
      <c r="E843" s="34">
        <f t="shared" ref="E843" si="1583">SUM(E841:E842)</f>
        <v>7.4250000000000002E-3</v>
      </c>
      <c r="F843" s="34">
        <f t="shared" ref="F843" si="1584">SUM(F841:F842)</f>
        <v>6.7500000000000004E-4</v>
      </c>
      <c r="G843" s="34">
        <f t="shared" ref="G843" si="1585">SUM(G841:G842)</f>
        <v>6.7500000000000004E-4</v>
      </c>
      <c r="H843" s="34">
        <f t="shared" ref="H843" si="1586">SUM(H841:H842)</f>
        <v>7.4250000000000002E-3</v>
      </c>
      <c r="I843" s="34">
        <f t="shared" ref="I843" si="1587">SUM(I841:I842)</f>
        <v>6.7500000000000004E-4</v>
      </c>
      <c r="J843" s="34">
        <f t="shared" ref="J843" si="1588">SUM(J841:J842)</f>
        <v>6.7500000000000004E-4</v>
      </c>
      <c r="K843" s="34">
        <f t="shared" ref="K843" si="1589">SUM(K841:K842)</f>
        <v>7.4250000000000002E-3</v>
      </c>
      <c r="L843" s="34">
        <f t="shared" ref="L843" si="1590">SUM(L841:L842)</f>
        <v>6.7500000000000004E-4</v>
      </c>
      <c r="M843" s="34">
        <f t="shared" ref="M843" si="1591">SUM(M841:M842)</f>
        <v>6.7500000000000004E-4</v>
      </c>
      <c r="N843" s="34">
        <f t="shared" ref="N843" si="1592">SUM(N841:N842)</f>
        <v>7.4250000000000002E-3</v>
      </c>
      <c r="O843" s="34">
        <f t="shared" ref="O843" si="1593">SUM(O841:O842)</f>
        <v>6.7500000000000004E-4</v>
      </c>
      <c r="P843" s="34">
        <f t="shared" ref="P843" si="1594">SUM(P841:P842)</f>
        <v>6.7500000000000004E-4</v>
      </c>
      <c r="Q843" s="34">
        <f t="shared" ref="Q843" si="1595">SUM(Q841:Q842)</f>
        <v>7.4250000000000002E-3</v>
      </c>
      <c r="R843" s="34">
        <f t="shared" ref="R843" si="1596">SUM(R841:R842)</f>
        <v>6.7500000000000004E-4</v>
      </c>
      <c r="S843" s="34">
        <f t="shared" ref="S843" si="1597">SUM(S841:S842)</f>
        <v>6.7500000000000004E-4</v>
      </c>
      <c r="T843" s="34">
        <f t="shared" ref="T843" si="1598">SUM(T841:T842)</f>
        <v>7.4250000000000002E-3</v>
      </c>
      <c r="U843" s="34">
        <f t="shared" ref="U843" si="1599">SUM(U841:U842)</f>
        <v>6.7500000000000004E-4</v>
      </c>
      <c r="V843" s="180">
        <f t="shared" si="1579"/>
        <v>6.0750000000000012E-2</v>
      </c>
      <c r="W843" s="53">
        <f t="shared" si="1580"/>
        <v>3.0375000000000007E-3</v>
      </c>
    </row>
    <row r="844" spans="1:23" s="81" customFormat="1">
      <c r="A844" s="134" t="s">
        <v>123</v>
      </c>
      <c r="B844" s="52">
        <v>0.96618357487922713</v>
      </c>
      <c r="C844" s="52">
        <v>0.93351070036640305</v>
      </c>
      <c r="D844" s="52">
        <v>0.90194270566802237</v>
      </c>
      <c r="E844" s="52">
        <v>0.87144222769857238</v>
      </c>
      <c r="F844" s="52">
        <v>0.84197316685852419</v>
      </c>
      <c r="G844" s="52">
        <v>0.81350064430775282</v>
      </c>
      <c r="H844" s="52">
        <v>0.78599096068381913</v>
      </c>
      <c r="I844" s="52">
        <v>0.75941155621625056</v>
      </c>
      <c r="J844" s="52">
        <v>0.73373097218961414</v>
      </c>
      <c r="K844" s="52">
        <v>0.70891881370977217</v>
      </c>
      <c r="L844" s="52">
        <v>0.68494571372924851</v>
      </c>
      <c r="M844" s="52">
        <v>0.66178329828912896</v>
      </c>
      <c r="N844" s="52">
        <v>0.63940415293635666</v>
      </c>
      <c r="O844" s="52">
        <v>0.61778179027667302</v>
      </c>
      <c r="P844" s="52">
        <v>0.59689061862480497</v>
      </c>
      <c r="Q844" s="52">
        <v>0.57670591171478747</v>
      </c>
      <c r="R844" s="52">
        <v>0.55720377943457733</v>
      </c>
      <c r="S844" s="52">
        <v>0.53836113955031628</v>
      </c>
      <c r="T844" s="52">
        <v>0.52015569038677911</v>
      </c>
      <c r="U844" s="52">
        <v>0.50256588443167061</v>
      </c>
      <c r="V844" s="180"/>
      <c r="W844" s="133"/>
    </row>
    <row r="845" spans="1:23" s="81" customFormat="1">
      <c r="A845" s="50" t="s">
        <v>1069</v>
      </c>
      <c r="B845" s="34">
        <f t="shared" ref="B845:U845" si="1600">B844*B843</f>
        <v>7.1739130434782614E-3</v>
      </c>
      <c r="C845" s="34">
        <f t="shared" si="1600"/>
        <v>6.3011972274732212E-4</v>
      </c>
      <c r="D845" s="34">
        <f t="shared" si="1600"/>
        <v>6.0881132632591508E-4</v>
      </c>
      <c r="E845" s="34">
        <f t="shared" si="1600"/>
        <v>6.4704585406618999E-3</v>
      </c>
      <c r="F845" s="34">
        <f t="shared" si="1600"/>
        <v>5.6833188762950391E-4</v>
      </c>
      <c r="G845" s="34">
        <f t="shared" si="1600"/>
        <v>5.4911293490773319E-4</v>
      </c>
      <c r="H845" s="34">
        <f t="shared" si="1600"/>
        <v>5.8359828830773569E-3</v>
      </c>
      <c r="I845" s="34">
        <f t="shared" si="1600"/>
        <v>5.1260280044596919E-4</v>
      </c>
      <c r="J845" s="34">
        <f t="shared" si="1600"/>
        <v>4.952684062279896E-4</v>
      </c>
      <c r="K845" s="34">
        <f t="shared" si="1600"/>
        <v>5.2637221917950583E-3</v>
      </c>
      <c r="L845" s="34">
        <f t="shared" si="1600"/>
        <v>4.6233835676724277E-4</v>
      </c>
      <c r="M845" s="34">
        <f t="shared" si="1600"/>
        <v>4.4670372634516209E-4</v>
      </c>
      <c r="N845" s="34">
        <f t="shared" si="1600"/>
        <v>4.7475758355524479E-3</v>
      </c>
      <c r="O845" s="34">
        <f t="shared" si="1600"/>
        <v>4.1700270843675433E-4</v>
      </c>
      <c r="P845" s="34">
        <f t="shared" si="1600"/>
        <v>4.0290116757174337E-4</v>
      </c>
      <c r="Q845" s="34">
        <f t="shared" si="1600"/>
        <v>4.282041394482297E-3</v>
      </c>
      <c r="R845" s="34">
        <f t="shared" si="1600"/>
        <v>3.7611255111833972E-4</v>
      </c>
      <c r="S845" s="34">
        <f t="shared" si="1600"/>
        <v>3.6339376919646352E-4</v>
      </c>
      <c r="T845" s="34">
        <f t="shared" si="1600"/>
        <v>3.8621560011218351E-3</v>
      </c>
      <c r="U845" s="34">
        <f t="shared" si="1600"/>
        <v>3.3923197199137769E-4</v>
      </c>
      <c r="V845" s="182">
        <f>SUM(B845:U845)</f>
        <v>4.3807781219880673E-2</v>
      </c>
      <c r="W845" s="35"/>
    </row>
    <row r="846" spans="1:23">
      <c r="A846" s="49"/>
      <c r="B846" s="34"/>
      <c r="C846" s="34"/>
      <c r="D846" s="34"/>
      <c r="E846" s="34"/>
      <c r="F846" s="34"/>
      <c r="G846" s="34"/>
      <c r="H846" s="34"/>
      <c r="I846" s="34"/>
      <c r="J846" s="34"/>
      <c r="K846" s="34"/>
      <c r="L846" s="34"/>
      <c r="M846" s="34"/>
      <c r="N846" s="34"/>
      <c r="O846" s="34"/>
      <c r="P846" s="34"/>
      <c r="Q846" s="34"/>
      <c r="R846" s="34"/>
      <c r="S846" s="34"/>
      <c r="T846" s="34"/>
      <c r="U846" s="34"/>
      <c r="V846" s="182"/>
      <c r="W846" s="35"/>
    </row>
    <row r="847" spans="1:23">
      <c r="A847" s="131" t="s">
        <v>1079</v>
      </c>
      <c r="B847" s="100"/>
      <c r="C847" s="100"/>
      <c r="D847" s="100"/>
      <c r="E847" s="100"/>
      <c r="F847" s="100"/>
      <c r="G847" s="100"/>
      <c r="H847" s="100"/>
      <c r="I847" s="100"/>
      <c r="J847" s="100"/>
      <c r="K847" s="100"/>
      <c r="L847" s="100"/>
      <c r="M847" s="100"/>
      <c r="N847" s="100"/>
      <c r="O847" s="100"/>
      <c r="P847" s="100"/>
      <c r="Q847" s="100"/>
      <c r="R847" s="100"/>
      <c r="S847" s="100"/>
      <c r="T847" s="100"/>
      <c r="U847" s="100"/>
      <c r="V847" s="179"/>
      <c r="W847" s="140"/>
    </row>
    <row r="848" spans="1:23">
      <c r="A848" s="200" t="s">
        <v>679</v>
      </c>
      <c r="B848" s="52">
        <f t="shared" ref="B848:U848" si="1601">B75</f>
        <v>6.7499999999999999E-3</v>
      </c>
      <c r="C848" s="52">
        <f t="shared" si="1601"/>
        <v>0</v>
      </c>
      <c r="D848" s="52">
        <f t="shared" si="1601"/>
        <v>0</v>
      </c>
      <c r="E848" s="52">
        <f t="shared" si="1601"/>
        <v>6.7499999999999999E-3</v>
      </c>
      <c r="F848" s="52">
        <f t="shared" si="1601"/>
        <v>0</v>
      </c>
      <c r="G848" s="52">
        <f t="shared" si="1601"/>
        <v>0</v>
      </c>
      <c r="H848" s="52">
        <f t="shared" si="1601"/>
        <v>6.7499999999999999E-3</v>
      </c>
      <c r="I848" s="52">
        <f t="shared" si="1601"/>
        <v>0</v>
      </c>
      <c r="J848" s="52">
        <f t="shared" si="1601"/>
        <v>0</v>
      </c>
      <c r="K848" s="52">
        <f t="shared" si="1601"/>
        <v>6.7499999999999999E-3</v>
      </c>
      <c r="L848" s="52">
        <f t="shared" si="1601"/>
        <v>0</v>
      </c>
      <c r="M848" s="52">
        <f t="shared" si="1601"/>
        <v>0</v>
      </c>
      <c r="N848" s="52">
        <f t="shared" si="1601"/>
        <v>6.7499999999999999E-3</v>
      </c>
      <c r="O848" s="52">
        <f t="shared" si="1601"/>
        <v>0</v>
      </c>
      <c r="P848" s="52">
        <f t="shared" si="1601"/>
        <v>0</v>
      </c>
      <c r="Q848" s="52">
        <f t="shared" si="1601"/>
        <v>6.7499999999999999E-3</v>
      </c>
      <c r="R848" s="52">
        <f t="shared" si="1601"/>
        <v>0</v>
      </c>
      <c r="S848" s="52">
        <f t="shared" si="1601"/>
        <v>0</v>
      </c>
      <c r="T848" s="52">
        <f t="shared" si="1601"/>
        <v>6.7499999999999999E-3</v>
      </c>
      <c r="U848" s="52">
        <f t="shared" si="1601"/>
        <v>0</v>
      </c>
      <c r="V848" s="180">
        <f>SUM(B848:U848)</f>
        <v>4.725E-2</v>
      </c>
      <c r="W848" s="53">
        <f>V848/20</f>
        <v>2.3625E-3</v>
      </c>
    </row>
    <row r="849" spans="1:25" s="3" customFormat="1">
      <c r="A849" s="200" t="s">
        <v>680</v>
      </c>
      <c r="B849" s="52">
        <f>('Scenario 2 Assumptions'!$B$279*('Scenario 2 Assumptions'!$B$293*0.5)/20)</f>
        <v>1.6875000000000001E-4</v>
      </c>
      <c r="C849" s="52">
        <f>('Scenario 2 Assumptions'!$B$279*('Scenario 2 Assumptions'!$B$293*0.5)/20)</f>
        <v>1.6875000000000001E-4</v>
      </c>
      <c r="D849" s="52">
        <f>('Scenario 2 Assumptions'!$B$279*('Scenario 2 Assumptions'!$B$293*0.5)/20)</f>
        <v>1.6875000000000001E-4</v>
      </c>
      <c r="E849" s="52">
        <f>('Scenario 2 Assumptions'!$B$279*('Scenario 2 Assumptions'!$B$293*0.5)/20)</f>
        <v>1.6875000000000001E-4</v>
      </c>
      <c r="F849" s="52">
        <f>('Scenario 2 Assumptions'!$B$279*('Scenario 2 Assumptions'!$B$293*0.5)/20)</f>
        <v>1.6875000000000001E-4</v>
      </c>
      <c r="G849" s="52">
        <f>('Scenario 2 Assumptions'!$B$279*('Scenario 2 Assumptions'!$B$293*0.5)/20)</f>
        <v>1.6875000000000001E-4</v>
      </c>
      <c r="H849" s="52">
        <f>('Scenario 2 Assumptions'!$B$279*('Scenario 2 Assumptions'!$B$293*0.5)/20)</f>
        <v>1.6875000000000001E-4</v>
      </c>
      <c r="I849" s="52">
        <f>('Scenario 2 Assumptions'!$B$279*('Scenario 2 Assumptions'!$B$293*0.5)/20)</f>
        <v>1.6875000000000001E-4</v>
      </c>
      <c r="J849" s="52">
        <f>('Scenario 2 Assumptions'!$B$279*('Scenario 2 Assumptions'!$B$293*0.5)/20)</f>
        <v>1.6875000000000001E-4</v>
      </c>
      <c r="K849" s="52">
        <f>('Scenario 2 Assumptions'!$B$279*('Scenario 2 Assumptions'!$B$293*0.5)/20)</f>
        <v>1.6875000000000001E-4</v>
      </c>
      <c r="L849" s="52">
        <f>('Scenario 2 Assumptions'!$B$279*('Scenario 2 Assumptions'!$B$293*0.5)/20)</f>
        <v>1.6875000000000001E-4</v>
      </c>
      <c r="M849" s="52">
        <f>('Scenario 2 Assumptions'!$B$279*('Scenario 2 Assumptions'!$B$293*0.5)/20)</f>
        <v>1.6875000000000001E-4</v>
      </c>
      <c r="N849" s="52">
        <f>('Scenario 2 Assumptions'!$B$279*('Scenario 2 Assumptions'!$B$293*0.5)/20)</f>
        <v>1.6875000000000001E-4</v>
      </c>
      <c r="O849" s="52">
        <f>('Scenario 2 Assumptions'!$B$279*('Scenario 2 Assumptions'!$B$293*0.5)/20)</f>
        <v>1.6875000000000001E-4</v>
      </c>
      <c r="P849" s="52">
        <f>('Scenario 2 Assumptions'!$B$279*('Scenario 2 Assumptions'!$B$293*0.5)/20)</f>
        <v>1.6875000000000001E-4</v>
      </c>
      <c r="Q849" s="52">
        <f>('Scenario 2 Assumptions'!$B$279*('Scenario 2 Assumptions'!$B$293*0.5)/20)</f>
        <v>1.6875000000000001E-4</v>
      </c>
      <c r="R849" s="52">
        <f>('Scenario 2 Assumptions'!$B$279*('Scenario 2 Assumptions'!$B$293*0.5)/20)</f>
        <v>1.6875000000000001E-4</v>
      </c>
      <c r="S849" s="52">
        <f>('Scenario 2 Assumptions'!$B$279*('Scenario 2 Assumptions'!$B$293*0.5)/20)</f>
        <v>1.6875000000000001E-4</v>
      </c>
      <c r="T849" s="52">
        <f>('Scenario 2 Assumptions'!$B$279*('Scenario 2 Assumptions'!$B$293*0.5)/20)</f>
        <v>1.6875000000000001E-4</v>
      </c>
      <c r="U849" s="52">
        <f>('Scenario 2 Assumptions'!$B$279*('Scenario 2 Assumptions'!$B$293*0.5)/20)</f>
        <v>1.6875000000000001E-4</v>
      </c>
      <c r="V849" s="180">
        <f t="shared" ref="V849:V850" si="1602">SUM(B849:U849)</f>
        <v>3.3750000000000008E-3</v>
      </c>
      <c r="W849" s="53">
        <f t="shared" ref="W849:W850" si="1603">V849/20</f>
        <v>1.6875000000000004E-4</v>
      </c>
    </row>
    <row r="850" spans="1:25" ht="13.5" customHeight="1">
      <c r="A850" s="49" t="s">
        <v>664</v>
      </c>
      <c r="B850" s="34">
        <f>SUM(B848:B849)</f>
        <v>6.9187499999999996E-3</v>
      </c>
      <c r="C850" s="34">
        <f t="shared" ref="C850" si="1604">SUM(C848:C849)</f>
        <v>1.6875000000000001E-4</v>
      </c>
      <c r="D850" s="34">
        <f t="shared" ref="D850" si="1605">SUM(D848:D849)</f>
        <v>1.6875000000000001E-4</v>
      </c>
      <c r="E850" s="34">
        <f t="shared" ref="E850" si="1606">SUM(E848:E849)</f>
        <v>6.9187499999999996E-3</v>
      </c>
      <c r="F850" s="34">
        <f t="shared" ref="F850" si="1607">SUM(F848:F849)</f>
        <v>1.6875000000000001E-4</v>
      </c>
      <c r="G850" s="34">
        <f t="shared" ref="G850" si="1608">SUM(G848:G849)</f>
        <v>1.6875000000000001E-4</v>
      </c>
      <c r="H850" s="34">
        <f t="shared" ref="H850" si="1609">SUM(H848:H849)</f>
        <v>6.9187499999999996E-3</v>
      </c>
      <c r="I850" s="34">
        <f t="shared" ref="I850" si="1610">SUM(I848:I849)</f>
        <v>1.6875000000000001E-4</v>
      </c>
      <c r="J850" s="34">
        <f t="shared" ref="J850" si="1611">SUM(J848:J849)</f>
        <v>1.6875000000000001E-4</v>
      </c>
      <c r="K850" s="34">
        <f t="shared" ref="K850" si="1612">SUM(K848:K849)</f>
        <v>6.9187499999999996E-3</v>
      </c>
      <c r="L850" s="34">
        <f t="shared" ref="L850" si="1613">SUM(L848:L849)</f>
        <v>1.6875000000000001E-4</v>
      </c>
      <c r="M850" s="34">
        <f t="shared" ref="M850" si="1614">SUM(M848:M849)</f>
        <v>1.6875000000000001E-4</v>
      </c>
      <c r="N850" s="34">
        <f t="shared" ref="N850" si="1615">SUM(N848:N849)</f>
        <v>6.9187499999999996E-3</v>
      </c>
      <c r="O850" s="34">
        <f t="shared" ref="O850" si="1616">SUM(O848:O849)</f>
        <v>1.6875000000000001E-4</v>
      </c>
      <c r="P850" s="34">
        <f t="shared" ref="P850" si="1617">SUM(P848:P849)</f>
        <v>1.6875000000000001E-4</v>
      </c>
      <c r="Q850" s="34">
        <f t="shared" ref="Q850" si="1618">SUM(Q848:Q849)</f>
        <v>6.9187499999999996E-3</v>
      </c>
      <c r="R850" s="34">
        <f t="shared" ref="R850" si="1619">SUM(R848:R849)</f>
        <v>1.6875000000000001E-4</v>
      </c>
      <c r="S850" s="34">
        <f t="shared" ref="S850" si="1620">SUM(S848:S849)</f>
        <v>1.6875000000000001E-4</v>
      </c>
      <c r="T850" s="34">
        <f t="shared" ref="T850" si="1621">SUM(T848:T849)</f>
        <v>6.9187499999999996E-3</v>
      </c>
      <c r="U850" s="34">
        <f t="shared" ref="U850" si="1622">SUM(U848:U849)</f>
        <v>1.6875000000000001E-4</v>
      </c>
      <c r="V850" s="180">
        <f t="shared" si="1602"/>
        <v>5.062500000000001E-2</v>
      </c>
      <c r="W850" s="53">
        <f t="shared" si="1603"/>
        <v>2.5312500000000005E-3</v>
      </c>
    </row>
    <row r="851" spans="1:25" s="81" customFormat="1">
      <c r="A851" s="134" t="s">
        <v>123</v>
      </c>
      <c r="B851" s="52">
        <v>0.96618357487922713</v>
      </c>
      <c r="C851" s="52">
        <v>0.93351070036640305</v>
      </c>
      <c r="D851" s="52">
        <v>0.90194270566802237</v>
      </c>
      <c r="E851" s="52">
        <v>0.87144222769857238</v>
      </c>
      <c r="F851" s="52">
        <v>0.84197316685852419</v>
      </c>
      <c r="G851" s="52">
        <v>0.81350064430775282</v>
      </c>
      <c r="H851" s="52">
        <v>0.78599096068381913</v>
      </c>
      <c r="I851" s="52">
        <v>0.75941155621625056</v>
      </c>
      <c r="J851" s="52">
        <v>0.73373097218961414</v>
      </c>
      <c r="K851" s="52">
        <v>0.70891881370977217</v>
      </c>
      <c r="L851" s="52">
        <v>0.68494571372924851</v>
      </c>
      <c r="M851" s="52">
        <v>0.66178329828912896</v>
      </c>
      <c r="N851" s="52">
        <v>0.63940415293635666</v>
      </c>
      <c r="O851" s="52">
        <v>0.61778179027667302</v>
      </c>
      <c r="P851" s="52">
        <v>0.59689061862480497</v>
      </c>
      <c r="Q851" s="52">
        <v>0.57670591171478747</v>
      </c>
      <c r="R851" s="52">
        <v>0.55720377943457733</v>
      </c>
      <c r="S851" s="52">
        <v>0.53836113955031628</v>
      </c>
      <c r="T851" s="52">
        <v>0.52015569038677911</v>
      </c>
      <c r="U851" s="52">
        <v>0.50256588443167061</v>
      </c>
      <c r="V851" s="180"/>
      <c r="W851" s="133"/>
    </row>
    <row r="852" spans="1:25" s="81" customFormat="1">
      <c r="A852" s="50" t="s">
        <v>1069</v>
      </c>
      <c r="B852" s="34">
        <f t="shared" ref="B852:U852" si="1623">B851*B850</f>
        <v>6.6847826086956523E-3</v>
      </c>
      <c r="C852" s="34">
        <f t="shared" si="1623"/>
        <v>1.5752993068683053E-4</v>
      </c>
      <c r="D852" s="34">
        <f t="shared" si="1623"/>
        <v>1.5220283158147877E-4</v>
      </c>
      <c r="E852" s="34">
        <f t="shared" si="1623"/>
        <v>6.0292909128894972E-3</v>
      </c>
      <c r="F852" s="34">
        <f t="shared" si="1623"/>
        <v>1.4208297190737598E-4</v>
      </c>
      <c r="G852" s="34">
        <f t="shared" si="1623"/>
        <v>1.372782337269333E-4</v>
      </c>
      <c r="H852" s="34">
        <f t="shared" si="1623"/>
        <v>5.438074959231173E-3</v>
      </c>
      <c r="I852" s="34">
        <f t="shared" si="1623"/>
        <v>1.281507001114923E-4</v>
      </c>
      <c r="J852" s="34">
        <f t="shared" si="1623"/>
        <v>1.238171015569974E-4</v>
      </c>
      <c r="K852" s="34">
        <f t="shared" si="1623"/>
        <v>4.9048320423544858E-3</v>
      </c>
      <c r="L852" s="34">
        <f t="shared" si="1623"/>
        <v>1.1558458919181069E-4</v>
      </c>
      <c r="M852" s="34">
        <f t="shared" si="1623"/>
        <v>1.1167593158629052E-4</v>
      </c>
      <c r="N852" s="34">
        <f t="shared" si="1623"/>
        <v>4.4238774831284172E-3</v>
      </c>
      <c r="O852" s="34">
        <f t="shared" si="1623"/>
        <v>1.0425067710918858E-4</v>
      </c>
      <c r="P852" s="34">
        <f t="shared" si="1623"/>
        <v>1.0072529189293584E-4</v>
      </c>
      <c r="Q852" s="34">
        <f t="shared" si="1623"/>
        <v>3.9900840266766857E-3</v>
      </c>
      <c r="R852" s="34">
        <f t="shared" si="1623"/>
        <v>9.402813777958493E-5</v>
      </c>
      <c r="S852" s="34">
        <f t="shared" si="1623"/>
        <v>9.0848442299115879E-5</v>
      </c>
      <c r="T852" s="34">
        <f t="shared" si="1623"/>
        <v>3.5988271828635279E-3</v>
      </c>
      <c r="U852" s="34">
        <f t="shared" si="1623"/>
        <v>8.4807992997844422E-5</v>
      </c>
      <c r="V852" s="182">
        <f>SUM(B852:U852)</f>
        <v>3.6612752048267319E-2</v>
      </c>
      <c r="W852" s="35"/>
    </row>
    <row r="853" spans="1:25">
      <c r="A853" s="49"/>
      <c r="B853" s="34"/>
      <c r="C853" s="34"/>
      <c r="D853" s="34"/>
      <c r="E853" s="34"/>
      <c r="F853" s="34"/>
      <c r="G853" s="34"/>
      <c r="H853" s="34"/>
      <c r="I853" s="34"/>
      <c r="J853" s="34"/>
      <c r="K853" s="34"/>
      <c r="L853" s="34"/>
      <c r="M853" s="34"/>
      <c r="N853" s="34"/>
      <c r="O853" s="34"/>
      <c r="P853" s="34"/>
      <c r="Q853" s="34"/>
      <c r="R853" s="34"/>
      <c r="S853" s="34"/>
      <c r="T853" s="34"/>
      <c r="U853" s="34"/>
      <c r="V853" s="182"/>
      <c r="W853" s="35"/>
    </row>
    <row r="854" spans="1:25">
      <c r="A854" s="131" t="s">
        <v>1078</v>
      </c>
      <c r="B854" s="100"/>
      <c r="C854" s="100"/>
      <c r="D854" s="100"/>
      <c r="E854" s="100"/>
      <c r="F854" s="100"/>
      <c r="G854" s="100"/>
      <c r="H854" s="100"/>
      <c r="I854" s="100"/>
      <c r="J854" s="100"/>
      <c r="K854" s="100"/>
      <c r="L854" s="100"/>
      <c r="M854" s="100"/>
      <c r="N854" s="100"/>
      <c r="O854" s="100"/>
      <c r="P854" s="100"/>
      <c r="Q854" s="100"/>
      <c r="R854" s="100"/>
      <c r="S854" s="100"/>
      <c r="T854" s="100"/>
      <c r="U854" s="100"/>
      <c r="V854" s="179"/>
      <c r="W854" s="140"/>
    </row>
    <row r="855" spans="1:25">
      <c r="A855" s="200" t="s">
        <v>679</v>
      </c>
      <c r="B855" s="52">
        <f t="shared" ref="B855:U855" si="1624">B77</f>
        <v>1.35E-2</v>
      </c>
      <c r="C855" s="52">
        <f t="shared" si="1624"/>
        <v>0</v>
      </c>
      <c r="D855" s="52">
        <f t="shared" si="1624"/>
        <v>0</v>
      </c>
      <c r="E855" s="52">
        <f t="shared" si="1624"/>
        <v>1.35E-2</v>
      </c>
      <c r="F855" s="52">
        <f t="shared" si="1624"/>
        <v>0</v>
      </c>
      <c r="G855" s="52">
        <f t="shared" si="1624"/>
        <v>0</v>
      </c>
      <c r="H855" s="52">
        <f t="shared" si="1624"/>
        <v>1.35E-2</v>
      </c>
      <c r="I855" s="52">
        <f t="shared" si="1624"/>
        <v>0</v>
      </c>
      <c r="J855" s="52">
        <f t="shared" si="1624"/>
        <v>0</v>
      </c>
      <c r="K855" s="52">
        <f t="shared" si="1624"/>
        <v>1.35E-2</v>
      </c>
      <c r="L855" s="52">
        <f t="shared" si="1624"/>
        <v>0</v>
      </c>
      <c r="M855" s="52">
        <f t="shared" si="1624"/>
        <v>0</v>
      </c>
      <c r="N855" s="52">
        <f t="shared" si="1624"/>
        <v>1.35E-2</v>
      </c>
      <c r="O855" s="52">
        <f t="shared" si="1624"/>
        <v>0</v>
      </c>
      <c r="P855" s="52">
        <f t="shared" si="1624"/>
        <v>0</v>
      </c>
      <c r="Q855" s="52">
        <f t="shared" si="1624"/>
        <v>1.35E-2</v>
      </c>
      <c r="R855" s="52">
        <f t="shared" si="1624"/>
        <v>0</v>
      </c>
      <c r="S855" s="52">
        <f t="shared" si="1624"/>
        <v>0</v>
      </c>
      <c r="T855" s="52">
        <f t="shared" si="1624"/>
        <v>1.35E-2</v>
      </c>
      <c r="U855" s="52">
        <f t="shared" si="1624"/>
        <v>0</v>
      </c>
      <c r="V855" s="180">
        <f>SUM(B855:U855)</f>
        <v>9.4500000000000001E-2</v>
      </c>
      <c r="W855" s="53">
        <f>V855/20</f>
        <v>4.725E-3</v>
      </c>
    </row>
    <row r="856" spans="1:25" s="3" customFormat="1">
      <c r="A856" s="200" t="s">
        <v>680</v>
      </c>
      <c r="B856" s="52">
        <f>('Scenario 2 Assumptions'!$B$279*('Scenario 2 Assumptions'!$B$294*0.5)/20)+B98</f>
        <v>4.3874999999999999E-3</v>
      </c>
      <c r="C856" s="52">
        <f>('Scenario 2 Assumptions'!$B$279*('Scenario 2 Assumptions'!$B$294*0.5)/20)+C98</f>
        <v>4.3874999999999999E-3</v>
      </c>
      <c r="D856" s="52">
        <f>('Scenario 2 Assumptions'!$B$279*('Scenario 2 Assumptions'!$B$294*0.5)/20)+D98</f>
        <v>4.3874999999999999E-3</v>
      </c>
      <c r="E856" s="52">
        <f>('Scenario 2 Assumptions'!$B$279*('Scenario 2 Assumptions'!$B$294*0.5)/20)+E98</f>
        <v>4.3874999999999999E-3</v>
      </c>
      <c r="F856" s="52">
        <f>('Scenario 2 Assumptions'!$B$279*('Scenario 2 Assumptions'!$B$294*0.5)/20)+F98</f>
        <v>4.3874999999999999E-3</v>
      </c>
      <c r="G856" s="52">
        <f>('Scenario 2 Assumptions'!$B$279*('Scenario 2 Assumptions'!$B$294*0.5)/20)+G98</f>
        <v>4.3874999999999999E-3</v>
      </c>
      <c r="H856" s="52">
        <f>('Scenario 2 Assumptions'!$B$279*('Scenario 2 Assumptions'!$B$294*0.5)/20)+H98</f>
        <v>4.3874999999999999E-3</v>
      </c>
      <c r="I856" s="52">
        <f>('Scenario 2 Assumptions'!$B$279*('Scenario 2 Assumptions'!$B$294*0.5)/20)+I98</f>
        <v>4.3874999999999999E-3</v>
      </c>
      <c r="J856" s="52">
        <f>('Scenario 2 Assumptions'!$B$279*('Scenario 2 Assumptions'!$B$294*0.5)/20)+J98</f>
        <v>4.3874999999999999E-3</v>
      </c>
      <c r="K856" s="52">
        <f>('Scenario 2 Assumptions'!$B$279*('Scenario 2 Assumptions'!$B$294*0.5)/20)+K98</f>
        <v>4.3874999999999999E-3</v>
      </c>
      <c r="L856" s="52">
        <f>('Scenario 2 Assumptions'!$B$279*('Scenario 2 Assumptions'!$B$294*0.5)/20)+L98</f>
        <v>4.3874999999999999E-3</v>
      </c>
      <c r="M856" s="52">
        <f>('Scenario 2 Assumptions'!$B$279*('Scenario 2 Assumptions'!$B$294*0.5)/20)+M98</f>
        <v>4.3874999999999999E-3</v>
      </c>
      <c r="N856" s="52">
        <f>('Scenario 2 Assumptions'!$B$279*('Scenario 2 Assumptions'!$B$294*0.5)/20)+N98</f>
        <v>4.3874999999999999E-3</v>
      </c>
      <c r="O856" s="52">
        <f>('Scenario 2 Assumptions'!$B$279*('Scenario 2 Assumptions'!$B$294*0.5)/20)+O98</f>
        <v>4.3874999999999999E-3</v>
      </c>
      <c r="P856" s="52">
        <f>('Scenario 2 Assumptions'!$B$279*('Scenario 2 Assumptions'!$B$294*0.5)/20)+P98</f>
        <v>4.3874999999999999E-3</v>
      </c>
      <c r="Q856" s="52">
        <f>('Scenario 2 Assumptions'!$B$279*('Scenario 2 Assumptions'!$B$294*0.5)/20)+Q98</f>
        <v>4.3874999999999999E-3</v>
      </c>
      <c r="R856" s="52">
        <f>('Scenario 2 Assumptions'!$B$279*('Scenario 2 Assumptions'!$B$294*0.5)/20)+R98</f>
        <v>4.3874999999999999E-3</v>
      </c>
      <c r="S856" s="52">
        <f>('Scenario 2 Assumptions'!$B$279*('Scenario 2 Assumptions'!$B$294*0.5)/20)+S98</f>
        <v>4.3874999999999999E-3</v>
      </c>
      <c r="T856" s="52">
        <f>('Scenario 2 Assumptions'!$B$279*('Scenario 2 Assumptions'!$B$294*0.5)/20)+T98</f>
        <v>4.3874999999999999E-3</v>
      </c>
      <c r="U856" s="52">
        <f>('Scenario 2 Assumptions'!$B$279*('Scenario 2 Assumptions'!$B$294*0.5)/20)+U98</f>
        <v>4.3874999999999999E-3</v>
      </c>
      <c r="V856" s="180">
        <f t="shared" ref="V856:V857" si="1625">SUM(B856:U856)</f>
        <v>8.7750000000000022E-2</v>
      </c>
      <c r="W856" s="53">
        <f t="shared" ref="W856:W857" si="1626">V856/20</f>
        <v>4.3875000000000008E-3</v>
      </c>
    </row>
    <row r="857" spans="1:25" ht="13.5" customHeight="1">
      <c r="A857" s="49" t="s">
        <v>664</v>
      </c>
      <c r="B857" s="34">
        <f>SUM(B855:B856)</f>
        <v>1.7887500000000001E-2</v>
      </c>
      <c r="C857" s="34">
        <f t="shared" ref="C857" si="1627">SUM(C855:C856)</f>
        <v>4.3874999999999999E-3</v>
      </c>
      <c r="D857" s="34">
        <f t="shared" ref="D857" si="1628">SUM(D855:D856)</f>
        <v>4.3874999999999999E-3</v>
      </c>
      <c r="E857" s="34">
        <f t="shared" ref="E857" si="1629">SUM(E855:E856)</f>
        <v>1.7887500000000001E-2</v>
      </c>
      <c r="F857" s="34">
        <f t="shared" ref="F857" si="1630">SUM(F855:F856)</f>
        <v>4.3874999999999999E-3</v>
      </c>
      <c r="G857" s="34">
        <f t="shared" ref="G857" si="1631">SUM(G855:G856)</f>
        <v>4.3874999999999999E-3</v>
      </c>
      <c r="H857" s="34">
        <f t="shared" ref="H857" si="1632">SUM(H855:H856)</f>
        <v>1.7887500000000001E-2</v>
      </c>
      <c r="I857" s="34">
        <f t="shared" ref="I857" si="1633">SUM(I855:I856)</f>
        <v>4.3874999999999999E-3</v>
      </c>
      <c r="J857" s="34">
        <f t="shared" ref="J857" si="1634">SUM(J855:J856)</f>
        <v>4.3874999999999999E-3</v>
      </c>
      <c r="K857" s="34">
        <f t="shared" ref="K857" si="1635">SUM(K855:K856)</f>
        <v>1.7887500000000001E-2</v>
      </c>
      <c r="L857" s="34">
        <f t="shared" ref="L857" si="1636">SUM(L855:L856)</f>
        <v>4.3874999999999999E-3</v>
      </c>
      <c r="M857" s="34">
        <f t="shared" ref="M857" si="1637">SUM(M855:M856)</f>
        <v>4.3874999999999999E-3</v>
      </c>
      <c r="N857" s="34">
        <f t="shared" ref="N857" si="1638">SUM(N855:N856)</f>
        <v>1.7887500000000001E-2</v>
      </c>
      <c r="O857" s="34">
        <f t="shared" ref="O857" si="1639">SUM(O855:O856)</f>
        <v>4.3874999999999999E-3</v>
      </c>
      <c r="P857" s="34">
        <f t="shared" ref="P857" si="1640">SUM(P855:P856)</f>
        <v>4.3874999999999999E-3</v>
      </c>
      <c r="Q857" s="34">
        <f t="shared" ref="Q857" si="1641">SUM(Q855:Q856)</f>
        <v>1.7887500000000001E-2</v>
      </c>
      <c r="R857" s="34">
        <f t="shared" ref="R857" si="1642">SUM(R855:R856)</f>
        <v>4.3874999999999999E-3</v>
      </c>
      <c r="S857" s="34">
        <f t="shared" ref="S857" si="1643">SUM(S855:S856)</f>
        <v>4.3874999999999999E-3</v>
      </c>
      <c r="T857" s="34">
        <f t="shared" ref="T857" si="1644">SUM(T855:T856)</f>
        <v>1.7887500000000001E-2</v>
      </c>
      <c r="U857" s="34">
        <f t="shared" ref="U857" si="1645">SUM(U855:U856)</f>
        <v>4.3874999999999999E-3</v>
      </c>
      <c r="V857" s="180">
        <f t="shared" si="1625"/>
        <v>0.18224999999999997</v>
      </c>
      <c r="W857" s="53">
        <f t="shared" si="1626"/>
        <v>9.1124999999999991E-3</v>
      </c>
    </row>
    <row r="858" spans="1:25" s="81" customFormat="1">
      <c r="A858" s="134" t="s">
        <v>123</v>
      </c>
      <c r="B858" s="52">
        <v>0.96618357487922713</v>
      </c>
      <c r="C858" s="52">
        <v>0.93351070036640305</v>
      </c>
      <c r="D858" s="52">
        <v>0.90194270566802237</v>
      </c>
      <c r="E858" s="52">
        <v>0.87144222769857238</v>
      </c>
      <c r="F858" s="52">
        <v>0.84197316685852419</v>
      </c>
      <c r="G858" s="52">
        <v>0.81350064430775282</v>
      </c>
      <c r="H858" s="52">
        <v>0.78599096068381913</v>
      </c>
      <c r="I858" s="52">
        <v>0.75941155621625056</v>
      </c>
      <c r="J858" s="52">
        <v>0.73373097218961414</v>
      </c>
      <c r="K858" s="52">
        <v>0.70891881370977217</v>
      </c>
      <c r="L858" s="52">
        <v>0.68494571372924851</v>
      </c>
      <c r="M858" s="52">
        <v>0.66178329828912896</v>
      </c>
      <c r="N858" s="52">
        <v>0.63940415293635666</v>
      </c>
      <c r="O858" s="52">
        <v>0.61778179027667302</v>
      </c>
      <c r="P858" s="52">
        <v>0.59689061862480497</v>
      </c>
      <c r="Q858" s="52">
        <v>0.57670591171478747</v>
      </c>
      <c r="R858" s="52">
        <v>0.55720377943457733</v>
      </c>
      <c r="S858" s="52">
        <v>0.53836113955031628</v>
      </c>
      <c r="T858" s="52">
        <v>0.52015569038677911</v>
      </c>
      <c r="U858" s="52">
        <v>0.50256588443167061</v>
      </c>
      <c r="V858" s="180"/>
      <c r="W858" s="133"/>
    </row>
    <row r="859" spans="1:25" s="81" customFormat="1">
      <c r="A859" s="50" t="s">
        <v>1069</v>
      </c>
      <c r="B859" s="34">
        <f t="shared" ref="B859:U859" si="1646">B858*B857</f>
        <v>1.7282608695652176E-2</v>
      </c>
      <c r="C859" s="34">
        <f t="shared" si="1646"/>
        <v>4.0957781978575936E-3</v>
      </c>
      <c r="D859" s="34">
        <f t="shared" si="1646"/>
        <v>3.9572736211184482E-3</v>
      </c>
      <c r="E859" s="34">
        <f t="shared" si="1646"/>
        <v>1.5587922847958215E-2</v>
      </c>
      <c r="F859" s="34">
        <f t="shared" si="1646"/>
        <v>3.6941572695917747E-3</v>
      </c>
      <c r="G859" s="34">
        <f t="shared" si="1646"/>
        <v>3.5692340769002654E-3</v>
      </c>
      <c r="H859" s="34">
        <f t="shared" si="1646"/>
        <v>1.4059413309231815E-2</v>
      </c>
      <c r="I859" s="34">
        <f t="shared" si="1646"/>
        <v>3.3319182028987994E-3</v>
      </c>
      <c r="J859" s="34">
        <f t="shared" si="1646"/>
        <v>3.2192446404819318E-3</v>
      </c>
      <c r="K859" s="34">
        <f t="shared" si="1646"/>
        <v>1.268078528023355E-2</v>
      </c>
      <c r="L859" s="34">
        <f t="shared" si="1646"/>
        <v>3.0051993189870777E-3</v>
      </c>
      <c r="M859" s="34">
        <f t="shared" si="1646"/>
        <v>2.9035742212435533E-3</v>
      </c>
      <c r="N859" s="34">
        <f t="shared" si="1646"/>
        <v>1.1437341785649081E-2</v>
      </c>
      <c r="O859" s="34">
        <f t="shared" si="1646"/>
        <v>2.7105176048389029E-3</v>
      </c>
      <c r="P859" s="34">
        <f t="shared" si="1646"/>
        <v>2.6188575892163316E-3</v>
      </c>
      <c r="Q859" s="34">
        <f t="shared" si="1646"/>
        <v>1.0315826995798262E-2</v>
      </c>
      <c r="R859" s="34">
        <f t="shared" si="1646"/>
        <v>2.444731582269208E-3</v>
      </c>
      <c r="S859" s="34">
        <f t="shared" si="1646"/>
        <v>2.3620594997770124E-3</v>
      </c>
      <c r="T859" s="34">
        <f t="shared" si="1646"/>
        <v>9.3042849117935117E-3</v>
      </c>
      <c r="U859" s="34">
        <f t="shared" si="1646"/>
        <v>2.2050078179439549E-3</v>
      </c>
      <c r="V859" s="182">
        <f>SUM(B859:U859)</f>
        <v>0.13078573746944144</v>
      </c>
      <c r="W859" s="35"/>
    </row>
    <row r="860" spans="1:25">
      <c r="A860" s="49"/>
      <c r="B860" s="34"/>
      <c r="C860" s="34"/>
      <c r="D860" s="34"/>
      <c r="E860" s="34"/>
      <c r="F860" s="34"/>
      <c r="G860" s="34"/>
      <c r="H860" s="34"/>
      <c r="I860" s="34"/>
      <c r="J860" s="34"/>
      <c r="K860" s="34"/>
      <c r="L860" s="34"/>
      <c r="M860" s="34"/>
      <c r="N860" s="34"/>
      <c r="O860" s="34"/>
      <c r="P860" s="34"/>
      <c r="Q860" s="34"/>
      <c r="R860" s="34"/>
      <c r="S860" s="34"/>
      <c r="T860" s="34"/>
      <c r="U860" s="34"/>
      <c r="V860" s="182"/>
      <c r="W860" s="35"/>
    </row>
    <row r="861" spans="1:25">
      <c r="A861" s="131" t="s">
        <v>1115</v>
      </c>
      <c r="B861" s="100"/>
      <c r="C861" s="100"/>
      <c r="D861" s="100"/>
      <c r="E861" s="100"/>
      <c r="F861" s="100"/>
      <c r="G861" s="100"/>
      <c r="H861" s="100"/>
      <c r="I861" s="100"/>
      <c r="J861" s="100"/>
      <c r="K861" s="100"/>
      <c r="L861" s="100"/>
      <c r="M861" s="100"/>
      <c r="N861" s="100"/>
      <c r="O861" s="100"/>
      <c r="P861" s="100"/>
      <c r="Q861" s="100"/>
      <c r="R861" s="100"/>
      <c r="S861" s="100"/>
      <c r="T861" s="100"/>
      <c r="U861" s="100"/>
      <c r="V861" s="179"/>
      <c r="W861" s="140"/>
    </row>
    <row r="862" spans="1:25">
      <c r="A862" s="200" t="s">
        <v>679</v>
      </c>
      <c r="B862" s="52">
        <v>0</v>
      </c>
      <c r="C862" s="52">
        <v>0</v>
      </c>
      <c r="D862" s="52">
        <v>0</v>
      </c>
      <c r="E862" s="52">
        <v>0</v>
      </c>
      <c r="F862" s="52">
        <v>0</v>
      </c>
      <c r="G862" s="52">
        <v>0</v>
      </c>
      <c r="H862" s="52">
        <v>0</v>
      </c>
      <c r="I862" s="52">
        <v>0</v>
      </c>
      <c r="J862" s="52">
        <v>0</v>
      </c>
      <c r="K862" s="52">
        <v>0</v>
      </c>
      <c r="L862" s="52">
        <v>0</v>
      </c>
      <c r="M862" s="52">
        <v>0</v>
      </c>
      <c r="N862" s="52">
        <v>0</v>
      </c>
      <c r="O862" s="52">
        <v>0</v>
      </c>
      <c r="P862" s="52">
        <v>0</v>
      </c>
      <c r="Q862" s="52">
        <v>0</v>
      </c>
      <c r="R862" s="52">
        <v>0</v>
      </c>
      <c r="S862" s="52">
        <v>0</v>
      </c>
      <c r="T862" s="52">
        <v>0</v>
      </c>
      <c r="U862" s="52">
        <v>0</v>
      </c>
      <c r="V862" s="180">
        <f>SUM(B862:U862)</f>
        <v>0</v>
      </c>
      <c r="W862" s="53">
        <f>V862/20</f>
        <v>0</v>
      </c>
      <c r="Y862" s="175"/>
    </row>
    <row r="863" spans="1:25" s="3" customFormat="1">
      <c r="A863" s="200" t="s">
        <v>680</v>
      </c>
      <c r="B863" s="52">
        <f>('Scenario 2 Assumptions'!$B$279*('Scenario 2 Assumptions'!$B$295*0.5)/20)</f>
        <v>1.6875000000000001E-4</v>
      </c>
      <c r="C863" s="52">
        <f>('Scenario 2 Assumptions'!$B$279*('Scenario 2 Assumptions'!$B$295*0.5)/20)</f>
        <v>1.6875000000000001E-4</v>
      </c>
      <c r="D863" s="52">
        <f>('Scenario 2 Assumptions'!$B$279*('Scenario 2 Assumptions'!$B$295*0.5)/20)</f>
        <v>1.6875000000000001E-4</v>
      </c>
      <c r="E863" s="52">
        <f>('Scenario 2 Assumptions'!$B$279*('Scenario 2 Assumptions'!$B$295*0.5)/20)</f>
        <v>1.6875000000000001E-4</v>
      </c>
      <c r="F863" s="52">
        <f>('Scenario 2 Assumptions'!$B$279*('Scenario 2 Assumptions'!$B$295*0.5)/20)</f>
        <v>1.6875000000000001E-4</v>
      </c>
      <c r="G863" s="52">
        <f>('Scenario 2 Assumptions'!$B$279*('Scenario 2 Assumptions'!$B$295*0.5)/20)</f>
        <v>1.6875000000000001E-4</v>
      </c>
      <c r="H863" s="52">
        <f>('Scenario 2 Assumptions'!$B$279*('Scenario 2 Assumptions'!$B$295*0.5)/20)</f>
        <v>1.6875000000000001E-4</v>
      </c>
      <c r="I863" s="52">
        <f>('Scenario 2 Assumptions'!$B$279*('Scenario 2 Assumptions'!$B$295*0.5)/20)</f>
        <v>1.6875000000000001E-4</v>
      </c>
      <c r="J863" s="52">
        <f>('Scenario 2 Assumptions'!$B$279*('Scenario 2 Assumptions'!$B$295*0.5)/20)</f>
        <v>1.6875000000000001E-4</v>
      </c>
      <c r="K863" s="52">
        <f>('Scenario 2 Assumptions'!$B$279*('Scenario 2 Assumptions'!$B$295*0.5)/20)</f>
        <v>1.6875000000000001E-4</v>
      </c>
      <c r="L863" s="52">
        <f>('Scenario 2 Assumptions'!$B$279*('Scenario 2 Assumptions'!$B$295*0.5)/20)</f>
        <v>1.6875000000000001E-4</v>
      </c>
      <c r="M863" s="52">
        <f>('Scenario 2 Assumptions'!$B$279*('Scenario 2 Assumptions'!$B$295*0.5)/20)</f>
        <v>1.6875000000000001E-4</v>
      </c>
      <c r="N863" s="52">
        <f>('Scenario 2 Assumptions'!$B$279*('Scenario 2 Assumptions'!$B$295*0.5)/20)</f>
        <v>1.6875000000000001E-4</v>
      </c>
      <c r="O863" s="52">
        <f>('Scenario 2 Assumptions'!$B$279*('Scenario 2 Assumptions'!$B$295*0.5)/20)</f>
        <v>1.6875000000000001E-4</v>
      </c>
      <c r="P863" s="52">
        <f>('Scenario 2 Assumptions'!$B$279*('Scenario 2 Assumptions'!$B$295*0.5)/20)</f>
        <v>1.6875000000000001E-4</v>
      </c>
      <c r="Q863" s="52">
        <f>('Scenario 2 Assumptions'!$B$279*('Scenario 2 Assumptions'!$B$295*0.5)/20)</f>
        <v>1.6875000000000001E-4</v>
      </c>
      <c r="R863" s="52">
        <f>('Scenario 2 Assumptions'!$B$279*('Scenario 2 Assumptions'!$B$295*0.5)/20)</f>
        <v>1.6875000000000001E-4</v>
      </c>
      <c r="S863" s="52">
        <f>('Scenario 2 Assumptions'!$B$279*('Scenario 2 Assumptions'!$B$295*0.5)/20)</f>
        <v>1.6875000000000001E-4</v>
      </c>
      <c r="T863" s="52">
        <f>('Scenario 2 Assumptions'!$B$279*('Scenario 2 Assumptions'!$B$295*0.5)/20)</f>
        <v>1.6875000000000001E-4</v>
      </c>
      <c r="U863" s="52">
        <f>('Scenario 2 Assumptions'!$B$279*('Scenario 2 Assumptions'!$B$295*0.5)/20)</f>
        <v>1.6875000000000001E-4</v>
      </c>
      <c r="V863" s="180">
        <f t="shared" ref="V863:V864" si="1647">SUM(B863:U863)</f>
        <v>3.3750000000000008E-3</v>
      </c>
      <c r="W863" s="53">
        <f t="shared" ref="W863:W864" si="1648">V863/20</f>
        <v>1.6875000000000004E-4</v>
      </c>
      <c r="Y863" s="175"/>
    </row>
    <row r="864" spans="1:25" ht="13.5" customHeight="1">
      <c r="A864" s="49" t="s">
        <v>664</v>
      </c>
      <c r="B864" s="34">
        <f>SUM(B862:B863)</f>
        <v>1.6875000000000001E-4</v>
      </c>
      <c r="C864" s="34">
        <f t="shared" ref="C864" si="1649">SUM(C862:C863)</f>
        <v>1.6875000000000001E-4</v>
      </c>
      <c r="D864" s="34">
        <f t="shared" ref="D864" si="1650">SUM(D862:D863)</f>
        <v>1.6875000000000001E-4</v>
      </c>
      <c r="E864" s="34">
        <f t="shared" ref="E864" si="1651">SUM(E862:E863)</f>
        <v>1.6875000000000001E-4</v>
      </c>
      <c r="F864" s="34">
        <f t="shared" ref="F864" si="1652">SUM(F862:F863)</f>
        <v>1.6875000000000001E-4</v>
      </c>
      <c r="G864" s="34">
        <f t="shared" ref="G864" si="1653">SUM(G862:G863)</f>
        <v>1.6875000000000001E-4</v>
      </c>
      <c r="H864" s="34">
        <f t="shared" ref="H864" si="1654">SUM(H862:H863)</f>
        <v>1.6875000000000001E-4</v>
      </c>
      <c r="I864" s="34">
        <f t="shared" ref="I864" si="1655">SUM(I862:I863)</f>
        <v>1.6875000000000001E-4</v>
      </c>
      <c r="J864" s="34">
        <f t="shared" ref="J864" si="1656">SUM(J862:J863)</f>
        <v>1.6875000000000001E-4</v>
      </c>
      <c r="K864" s="34">
        <f t="shared" ref="K864" si="1657">SUM(K862:K863)</f>
        <v>1.6875000000000001E-4</v>
      </c>
      <c r="L864" s="34">
        <f t="shared" ref="L864" si="1658">SUM(L862:L863)</f>
        <v>1.6875000000000001E-4</v>
      </c>
      <c r="M864" s="34">
        <f t="shared" ref="M864" si="1659">SUM(M862:M863)</f>
        <v>1.6875000000000001E-4</v>
      </c>
      <c r="N864" s="34">
        <f t="shared" ref="N864" si="1660">SUM(N862:N863)</f>
        <v>1.6875000000000001E-4</v>
      </c>
      <c r="O864" s="34">
        <f t="shared" ref="O864" si="1661">SUM(O862:O863)</f>
        <v>1.6875000000000001E-4</v>
      </c>
      <c r="P864" s="34">
        <f t="shared" ref="P864" si="1662">SUM(P862:P863)</f>
        <v>1.6875000000000001E-4</v>
      </c>
      <c r="Q864" s="34">
        <f t="shared" ref="Q864" si="1663">SUM(Q862:Q863)</f>
        <v>1.6875000000000001E-4</v>
      </c>
      <c r="R864" s="34">
        <f t="shared" ref="R864" si="1664">SUM(R862:R863)</f>
        <v>1.6875000000000001E-4</v>
      </c>
      <c r="S864" s="34">
        <f t="shared" ref="S864" si="1665">SUM(S862:S863)</f>
        <v>1.6875000000000001E-4</v>
      </c>
      <c r="T864" s="34">
        <f t="shared" ref="T864" si="1666">SUM(T862:T863)</f>
        <v>1.6875000000000001E-4</v>
      </c>
      <c r="U864" s="34">
        <f t="shared" ref="U864" si="1667">SUM(U862:U863)</f>
        <v>1.6875000000000001E-4</v>
      </c>
      <c r="V864" s="180">
        <f t="shared" si="1647"/>
        <v>3.3750000000000008E-3</v>
      </c>
      <c r="W864" s="53">
        <f t="shared" si="1648"/>
        <v>1.6875000000000004E-4</v>
      </c>
    </row>
    <row r="865" spans="1:25" s="81" customFormat="1">
      <c r="A865" s="134" t="s">
        <v>123</v>
      </c>
      <c r="B865" s="52">
        <v>0.96618357487922713</v>
      </c>
      <c r="C865" s="52">
        <v>0.93351070036640305</v>
      </c>
      <c r="D865" s="52">
        <v>0.90194270566802237</v>
      </c>
      <c r="E865" s="52">
        <v>0.87144222769857238</v>
      </c>
      <c r="F865" s="52">
        <v>0.84197316685852419</v>
      </c>
      <c r="G865" s="52">
        <v>0.81350064430775282</v>
      </c>
      <c r="H865" s="52">
        <v>0.78599096068381913</v>
      </c>
      <c r="I865" s="52">
        <v>0.75941155621625056</v>
      </c>
      <c r="J865" s="52">
        <v>0.73373097218961414</v>
      </c>
      <c r="K865" s="52">
        <v>0.70891881370977217</v>
      </c>
      <c r="L865" s="52">
        <v>0.68494571372924851</v>
      </c>
      <c r="M865" s="52">
        <v>0.66178329828912896</v>
      </c>
      <c r="N865" s="52">
        <v>0.63940415293635666</v>
      </c>
      <c r="O865" s="52">
        <v>0.61778179027667302</v>
      </c>
      <c r="P865" s="52">
        <v>0.59689061862480497</v>
      </c>
      <c r="Q865" s="52">
        <v>0.57670591171478747</v>
      </c>
      <c r="R865" s="52">
        <v>0.55720377943457733</v>
      </c>
      <c r="S865" s="52">
        <v>0.53836113955031628</v>
      </c>
      <c r="T865" s="52">
        <v>0.52015569038677911</v>
      </c>
      <c r="U865" s="52">
        <v>0.50256588443167061</v>
      </c>
      <c r="V865" s="180"/>
      <c r="W865" s="133"/>
    </row>
    <row r="866" spans="1:25" s="81" customFormat="1">
      <c r="A866" s="50" t="s">
        <v>1069</v>
      </c>
      <c r="B866" s="34">
        <f t="shared" ref="B866:U866" si="1668">B865*B864</f>
        <v>1.6304347826086958E-4</v>
      </c>
      <c r="C866" s="34">
        <f t="shared" si="1668"/>
        <v>1.5752993068683053E-4</v>
      </c>
      <c r="D866" s="34">
        <f t="shared" si="1668"/>
        <v>1.5220283158147877E-4</v>
      </c>
      <c r="E866" s="34">
        <f t="shared" si="1668"/>
        <v>1.4705587592413411E-4</v>
      </c>
      <c r="F866" s="34">
        <f t="shared" si="1668"/>
        <v>1.4208297190737598E-4</v>
      </c>
      <c r="G866" s="34">
        <f t="shared" si="1668"/>
        <v>1.372782337269333E-4</v>
      </c>
      <c r="H866" s="34">
        <f t="shared" si="1668"/>
        <v>1.3263597461539447E-4</v>
      </c>
      <c r="I866" s="34">
        <f t="shared" si="1668"/>
        <v>1.281507001114923E-4</v>
      </c>
      <c r="J866" s="34">
        <f t="shared" si="1668"/>
        <v>1.238171015569974E-4</v>
      </c>
      <c r="K866" s="34">
        <f t="shared" si="1668"/>
        <v>1.1963004981352407E-4</v>
      </c>
      <c r="L866" s="34">
        <f t="shared" si="1668"/>
        <v>1.1558458919181069E-4</v>
      </c>
      <c r="M866" s="34">
        <f t="shared" si="1668"/>
        <v>1.1167593158629052E-4</v>
      </c>
      <c r="N866" s="34">
        <f t="shared" si="1668"/>
        <v>1.0789945080801019E-4</v>
      </c>
      <c r="O866" s="34">
        <f t="shared" si="1668"/>
        <v>1.0425067710918858E-4</v>
      </c>
      <c r="P866" s="34">
        <f t="shared" si="1668"/>
        <v>1.0072529189293584E-4</v>
      </c>
      <c r="Q866" s="34">
        <f t="shared" si="1668"/>
        <v>9.7319122601870396E-5</v>
      </c>
      <c r="R866" s="34">
        <f t="shared" si="1668"/>
        <v>9.402813777958493E-5</v>
      </c>
      <c r="S866" s="34">
        <f t="shared" si="1668"/>
        <v>9.0848442299115879E-5</v>
      </c>
      <c r="T866" s="34">
        <f t="shared" si="1668"/>
        <v>8.7776272752768973E-5</v>
      </c>
      <c r="U866" s="34">
        <f t="shared" si="1668"/>
        <v>8.4807992997844422E-5</v>
      </c>
      <c r="V866" s="182">
        <f>SUM(B866:U866)</f>
        <v>2.3983430572044511E-3</v>
      </c>
      <c r="W866" s="35"/>
    </row>
    <row r="867" spans="1:25">
      <c r="A867" s="49"/>
      <c r="B867" s="34"/>
      <c r="C867" s="34"/>
      <c r="D867" s="34"/>
      <c r="E867" s="34"/>
      <c r="F867" s="34"/>
      <c r="G867" s="34"/>
      <c r="H867" s="34"/>
      <c r="I867" s="34"/>
      <c r="J867" s="34"/>
      <c r="K867" s="34"/>
      <c r="L867" s="34"/>
      <c r="M867" s="34"/>
      <c r="N867" s="34"/>
      <c r="O867" s="34"/>
      <c r="P867" s="34"/>
      <c r="Q867" s="34"/>
      <c r="R867" s="34"/>
      <c r="S867" s="34"/>
      <c r="T867" s="34"/>
      <c r="U867" s="34"/>
      <c r="V867" s="182"/>
      <c r="W867" s="35"/>
    </row>
    <row r="868" spans="1:25">
      <c r="A868" s="131" t="s">
        <v>995</v>
      </c>
      <c r="B868" s="100"/>
      <c r="C868" s="100"/>
      <c r="D868" s="100"/>
      <c r="E868" s="100"/>
      <c r="F868" s="100"/>
      <c r="G868" s="100"/>
      <c r="H868" s="100"/>
      <c r="I868" s="100"/>
      <c r="J868" s="100"/>
      <c r="K868" s="100"/>
      <c r="L868" s="100"/>
      <c r="M868" s="100"/>
      <c r="N868" s="100"/>
      <c r="O868" s="100"/>
      <c r="P868" s="100"/>
      <c r="Q868" s="100"/>
      <c r="R868" s="100"/>
      <c r="S868" s="100"/>
      <c r="T868" s="100"/>
      <c r="U868" s="100"/>
      <c r="V868" s="179"/>
      <c r="W868" s="140"/>
    </row>
    <row r="869" spans="1:25">
      <c r="A869" s="200" t="s">
        <v>679</v>
      </c>
      <c r="B869" s="52">
        <f t="shared" ref="B869:U869" si="1669">B78</f>
        <v>1.35E-2</v>
      </c>
      <c r="C869" s="52">
        <f t="shared" si="1669"/>
        <v>0</v>
      </c>
      <c r="D869" s="52">
        <f t="shared" si="1669"/>
        <v>0</v>
      </c>
      <c r="E869" s="52">
        <f t="shared" si="1669"/>
        <v>1.35E-2</v>
      </c>
      <c r="F869" s="52">
        <f t="shared" si="1669"/>
        <v>0</v>
      </c>
      <c r="G869" s="52">
        <f t="shared" si="1669"/>
        <v>0</v>
      </c>
      <c r="H869" s="52">
        <f t="shared" si="1669"/>
        <v>1.35E-2</v>
      </c>
      <c r="I869" s="52">
        <f t="shared" si="1669"/>
        <v>0</v>
      </c>
      <c r="J869" s="52">
        <f t="shared" si="1669"/>
        <v>0</v>
      </c>
      <c r="K869" s="52">
        <f t="shared" si="1669"/>
        <v>1.35E-2</v>
      </c>
      <c r="L869" s="52">
        <f t="shared" si="1669"/>
        <v>0</v>
      </c>
      <c r="M869" s="52">
        <f t="shared" si="1669"/>
        <v>0</v>
      </c>
      <c r="N869" s="52">
        <f t="shared" si="1669"/>
        <v>1.35E-2</v>
      </c>
      <c r="O869" s="52">
        <f t="shared" si="1669"/>
        <v>0</v>
      </c>
      <c r="P869" s="52">
        <f t="shared" si="1669"/>
        <v>0</v>
      </c>
      <c r="Q869" s="52">
        <f t="shared" si="1669"/>
        <v>1.35E-2</v>
      </c>
      <c r="R869" s="52">
        <f t="shared" si="1669"/>
        <v>0</v>
      </c>
      <c r="S869" s="52">
        <f t="shared" si="1669"/>
        <v>0</v>
      </c>
      <c r="T869" s="52">
        <f t="shared" si="1669"/>
        <v>1.35E-2</v>
      </c>
      <c r="U869" s="52">
        <f t="shared" si="1669"/>
        <v>0</v>
      </c>
      <c r="V869" s="180">
        <f>SUM(B869:U869)</f>
        <v>9.4500000000000001E-2</v>
      </c>
      <c r="W869" s="53">
        <f>V869/20</f>
        <v>4.725E-3</v>
      </c>
    </row>
    <row r="870" spans="1:25" s="3" customFormat="1">
      <c r="A870" s="200" t="s">
        <v>680</v>
      </c>
      <c r="B870" s="52">
        <f>('Scenario 2 Assumptions'!$B$279*('Scenario 2 Assumptions'!$B$296*0.5)/20)+B107</f>
        <v>8.437500000000001E-4</v>
      </c>
      <c r="C870" s="52">
        <f>('Scenario 2 Assumptions'!$B$279*('Scenario 2 Assumptions'!$B$296*0.5)/20)+C107</f>
        <v>8.437500000000001E-4</v>
      </c>
      <c r="D870" s="52">
        <f>('Scenario 2 Assumptions'!$B$279*('Scenario 2 Assumptions'!$B$296*0.5)/20)+D107</f>
        <v>8.437500000000001E-4</v>
      </c>
      <c r="E870" s="52">
        <f>('Scenario 2 Assumptions'!$B$279*('Scenario 2 Assumptions'!$B$296*0.5)/20)+E107</f>
        <v>8.437500000000001E-4</v>
      </c>
      <c r="F870" s="52">
        <f>('Scenario 2 Assumptions'!$B$279*('Scenario 2 Assumptions'!$B$296*0.5)/20)+F107</f>
        <v>8.437500000000001E-4</v>
      </c>
      <c r="G870" s="52">
        <f>('Scenario 2 Assumptions'!$B$279*('Scenario 2 Assumptions'!$B$296*0.5)/20)+G107</f>
        <v>8.437500000000001E-4</v>
      </c>
      <c r="H870" s="52">
        <f>('Scenario 2 Assumptions'!$B$279*('Scenario 2 Assumptions'!$B$296*0.5)/20)+H107</f>
        <v>8.437500000000001E-4</v>
      </c>
      <c r="I870" s="52">
        <f>('Scenario 2 Assumptions'!$B$279*('Scenario 2 Assumptions'!$B$296*0.5)/20)+I107</f>
        <v>8.437500000000001E-4</v>
      </c>
      <c r="J870" s="52">
        <f>('Scenario 2 Assumptions'!$B$279*('Scenario 2 Assumptions'!$B$296*0.5)/20)+J107</f>
        <v>8.437500000000001E-4</v>
      </c>
      <c r="K870" s="52">
        <f>('Scenario 2 Assumptions'!$B$279*('Scenario 2 Assumptions'!$B$296*0.5)/20)+K107</f>
        <v>8.437500000000001E-4</v>
      </c>
      <c r="L870" s="52">
        <f>('Scenario 2 Assumptions'!$B$279*('Scenario 2 Assumptions'!$B$296*0.5)/20)+L107</f>
        <v>8.437500000000001E-4</v>
      </c>
      <c r="M870" s="52">
        <f>('Scenario 2 Assumptions'!$B$279*('Scenario 2 Assumptions'!$B$296*0.5)/20)+M107</f>
        <v>8.437500000000001E-4</v>
      </c>
      <c r="N870" s="52">
        <f>('Scenario 2 Assumptions'!$B$279*('Scenario 2 Assumptions'!$B$296*0.5)/20)+N107</f>
        <v>8.437500000000001E-4</v>
      </c>
      <c r="O870" s="52">
        <f>('Scenario 2 Assumptions'!$B$279*('Scenario 2 Assumptions'!$B$296*0.5)/20)+O107</f>
        <v>8.437500000000001E-4</v>
      </c>
      <c r="P870" s="52">
        <f>('Scenario 2 Assumptions'!$B$279*('Scenario 2 Assumptions'!$B$296*0.5)/20)+P107</f>
        <v>8.437500000000001E-4</v>
      </c>
      <c r="Q870" s="52">
        <f>('Scenario 2 Assumptions'!$B$279*('Scenario 2 Assumptions'!$B$296*0.5)/20)+Q107</f>
        <v>8.437500000000001E-4</v>
      </c>
      <c r="R870" s="52">
        <f>('Scenario 2 Assumptions'!$B$279*('Scenario 2 Assumptions'!$B$296*0.5)/20)+R107</f>
        <v>8.437500000000001E-4</v>
      </c>
      <c r="S870" s="52">
        <f>('Scenario 2 Assumptions'!$B$279*('Scenario 2 Assumptions'!$B$296*0.5)/20)+S107</f>
        <v>8.437500000000001E-4</v>
      </c>
      <c r="T870" s="52">
        <f>('Scenario 2 Assumptions'!$B$279*('Scenario 2 Assumptions'!$B$296*0.5)/20)+T107</f>
        <v>8.437500000000001E-4</v>
      </c>
      <c r="U870" s="52">
        <f>('Scenario 2 Assumptions'!$B$279*('Scenario 2 Assumptions'!$B$296*0.5)/20)+U107</f>
        <v>8.437500000000001E-4</v>
      </c>
      <c r="V870" s="180">
        <f t="shared" ref="V870:V871" si="1670">SUM(B870:U870)</f>
        <v>1.6875000000000008E-2</v>
      </c>
      <c r="W870" s="53">
        <f t="shared" ref="W870:W871" si="1671">V870/20</f>
        <v>8.4375000000000042E-4</v>
      </c>
    </row>
    <row r="871" spans="1:25" ht="13.5" customHeight="1">
      <c r="A871" s="49" t="s">
        <v>664</v>
      </c>
      <c r="B871" s="34">
        <f>SUM(B869:B870)</f>
        <v>1.4343750000000001E-2</v>
      </c>
      <c r="C871" s="34">
        <f t="shared" ref="C871" si="1672">SUM(C869:C870)</f>
        <v>8.437500000000001E-4</v>
      </c>
      <c r="D871" s="34">
        <f t="shared" ref="D871" si="1673">SUM(D869:D870)</f>
        <v>8.437500000000001E-4</v>
      </c>
      <c r="E871" s="34">
        <f t="shared" ref="E871" si="1674">SUM(E869:E870)</f>
        <v>1.4343750000000001E-2</v>
      </c>
      <c r="F871" s="34">
        <f t="shared" ref="F871" si="1675">SUM(F869:F870)</f>
        <v>8.437500000000001E-4</v>
      </c>
      <c r="G871" s="34">
        <f t="shared" ref="G871" si="1676">SUM(G869:G870)</f>
        <v>8.437500000000001E-4</v>
      </c>
      <c r="H871" s="34">
        <f t="shared" ref="H871" si="1677">SUM(H869:H870)</f>
        <v>1.4343750000000001E-2</v>
      </c>
      <c r="I871" s="34">
        <f t="shared" ref="I871" si="1678">SUM(I869:I870)</f>
        <v>8.437500000000001E-4</v>
      </c>
      <c r="J871" s="34">
        <f t="shared" ref="J871" si="1679">SUM(J869:J870)</f>
        <v>8.437500000000001E-4</v>
      </c>
      <c r="K871" s="34">
        <f t="shared" ref="K871" si="1680">SUM(K869:K870)</f>
        <v>1.4343750000000001E-2</v>
      </c>
      <c r="L871" s="34">
        <f t="shared" ref="L871" si="1681">SUM(L869:L870)</f>
        <v>8.437500000000001E-4</v>
      </c>
      <c r="M871" s="34">
        <f t="shared" ref="M871" si="1682">SUM(M869:M870)</f>
        <v>8.437500000000001E-4</v>
      </c>
      <c r="N871" s="34">
        <f t="shared" ref="N871" si="1683">SUM(N869:N870)</f>
        <v>1.4343750000000001E-2</v>
      </c>
      <c r="O871" s="34">
        <f t="shared" ref="O871" si="1684">SUM(O869:O870)</f>
        <v>8.437500000000001E-4</v>
      </c>
      <c r="P871" s="34">
        <f t="shared" ref="P871" si="1685">SUM(P869:P870)</f>
        <v>8.437500000000001E-4</v>
      </c>
      <c r="Q871" s="34">
        <f t="shared" ref="Q871" si="1686">SUM(Q869:Q870)</f>
        <v>1.4343750000000001E-2</v>
      </c>
      <c r="R871" s="34">
        <f t="shared" ref="R871" si="1687">SUM(R869:R870)</f>
        <v>8.437500000000001E-4</v>
      </c>
      <c r="S871" s="34">
        <f t="shared" ref="S871" si="1688">SUM(S869:S870)</f>
        <v>8.437500000000001E-4</v>
      </c>
      <c r="T871" s="34">
        <f t="shared" ref="T871" si="1689">SUM(T869:T870)</f>
        <v>1.4343750000000001E-2</v>
      </c>
      <c r="U871" s="34">
        <f t="shared" ref="U871" si="1690">SUM(U869:U870)</f>
        <v>8.437500000000001E-4</v>
      </c>
      <c r="V871" s="180">
        <f t="shared" si="1670"/>
        <v>0.11137500000000003</v>
      </c>
      <c r="W871" s="53">
        <f t="shared" si="1671"/>
        <v>5.5687500000000017E-3</v>
      </c>
    </row>
    <row r="872" spans="1:25" s="81" customFormat="1">
      <c r="A872" s="134" t="s">
        <v>123</v>
      </c>
      <c r="B872" s="52">
        <v>0.96618357487922713</v>
      </c>
      <c r="C872" s="52">
        <v>0.93351070036640305</v>
      </c>
      <c r="D872" s="52">
        <v>0.90194270566802237</v>
      </c>
      <c r="E872" s="52">
        <v>0.87144222769857238</v>
      </c>
      <c r="F872" s="52">
        <v>0.84197316685852419</v>
      </c>
      <c r="G872" s="52">
        <v>0.81350064430775282</v>
      </c>
      <c r="H872" s="52">
        <v>0.78599096068381913</v>
      </c>
      <c r="I872" s="52">
        <v>0.75941155621625056</v>
      </c>
      <c r="J872" s="52">
        <v>0.73373097218961414</v>
      </c>
      <c r="K872" s="52">
        <v>0.70891881370977217</v>
      </c>
      <c r="L872" s="52">
        <v>0.68494571372924851</v>
      </c>
      <c r="M872" s="52">
        <v>0.66178329828912896</v>
      </c>
      <c r="N872" s="52">
        <v>0.63940415293635666</v>
      </c>
      <c r="O872" s="52">
        <v>0.61778179027667302</v>
      </c>
      <c r="P872" s="52">
        <v>0.59689061862480497</v>
      </c>
      <c r="Q872" s="52">
        <v>0.57670591171478747</v>
      </c>
      <c r="R872" s="52">
        <v>0.55720377943457733</v>
      </c>
      <c r="S872" s="52">
        <v>0.53836113955031628</v>
      </c>
      <c r="T872" s="52">
        <v>0.52015569038677911</v>
      </c>
      <c r="U872" s="52">
        <v>0.50256588443167061</v>
      </c>
      <c r="V872" s="180"/>
      <c r="W872" s="133"/>
    </row>
    <row r="873" spans="1:25" s="81" customFormat="1">
      <c r="A873" s="50" t="s">
        <v>1069</v>
      </c>
      <c r="B873" s="34">
        <f t="shared" ref="B873:U873" si="1691">B872*B871</f>
        <v>1.3858695652173915E-2</v>
      </c>
      <c r="C873" s="34">
        <f t="shared" si="1691"/>
        <v>7.8764965343415267E-4</v>
      </c>
      <c r="D873" s="34">
        <f t="shared" si="1691"/>
        <v>7.6101415790739394E-4</v>
      </c>
      <c r="E873" s="34">
        <f t="shared" si="1691"/>
        <v>1.2499749453551399E-2</v>
      </c>
      <c r="F873" s="34">
        <f t="shared" si="1691"/>
        <v>7.1041485953687985E-4</v>
      </c>
      <c r="G873" s="34">
        <f t="shared" si="1691"/>
        <v>6.8639116863466651E-4</v>
      </c>
      <c r="H873" s="34">
        <f t="shared" si="1691"/>
        <v>1.1274057842308531E-2</v>
      </c>
      <c r="I873" s="34">
        <f t="shared" si="1691"/>
        <v>6.4075350055746146E-4</v>
      </c>
      <c r="J873" s="34">
        <f t="shared" si="1691"/>
        <v>6.1908550778498703E-4</v>
      </c>
      <c r="K873" s="34">
        <f t="shared" si="1691"/>
        <v>1.0168554234149545E-2</v>
      </c>
      <c r="L873" s="34">
        <f t="shared" si="1691"/>
        <v>5.7792294595905352E-4</v>
      </c>
      <c r="M873" s="34">
        <f t="shared" si="1691"/>
        <v>5.5837965793145261E-4</v>
      </c>
      <c r="N873" s="34">
        <f t="shared" si="1691"/>
        <v>9.171453318680866E-3</v>
      </c>
      <c r="O873" s="34">
        <f t="shared" si="1691"/>
        <v>5.2125338554594289E-4</v>
      </c>
      <c r="P873" s="34">
        <f t="shared" si="1691"/>
        <v>5.0362645946467927E-4</v>
      </c>
      <c r="Q873" s="34">
        <f t="shared" si="1691"/>
        <v>8.2721254211589827E-3</v>
      </c>
      <c r="R873" s="34">
        <f t="shared" si="1691"/>
        <v>4.7014068889792468E-4</v>
      </c>
      <c r="S873" s="34">
        <f t="shared" si="1691"/>
        <v>4.542422114955794E-4</v>
      </c>
      <c r="T873" s="34">
        <f t="shared" si="1691"/>
        <v>7.4609831839853634E-3</v>
      </c>
      <c r="U873" s="34">
        <f t="shared" si="1691"/>
        <v>4.2403996498922213E-4</v>
      </c>
      <c r="V873" s="182">
        <f>SUM(B873:U873)</f>
        <v>8.0420533268147992E-2</v>
      </c>
      <c r="W873" s="35"/>
      <c r="Y873" s="280"/>
    </row>
    <row r="874" spans="1:25">
      <c r="A874" s="49"/>
      <c r="B874" s="34"/>
      <c r="C874" s="34"/>
      <c r="D874" s="34"/>
      <c r="E874" s="34"/>
      <c r="F874" s="34"/>
      <c r="G874" s="34"/>
      <c r="H874" s="34"/>
      <c r="I874" s="34"/>
      <c r="J874" s="34"/>
      <c r="K874" s="34"/>
      <c r="L874" s="34"/>
      <c r="M874" s="34"/>
      <c r="N874" s="34"/>
      <c r="O874" s="34"/>
      <c r="P874" s="34"/>
      <c r="Q874" s="34"/>
      <c r="R874" s="34"/>
      <c r="S874" s="34"/>
      <c r="T874" s="34"/>
      <c r="U874" s="34"/>
      <c r="V874" s="182"/>
      <c r="W874" s="35"/>
    </row>
    <row r="875" spans="1:25">
      <c r="A875" s="131" t="s">
        <v>1077</v>
      </c>
      <c r="B875" s="100"/>
      <c r="C875" s="100"/>
      <c r="D875" s="100"/>
      <c r="E875" s="100"/>
      <c r="F875" s="100"/>
      <c r="G875" s="100"/>
      <c r="H875" s="100"/>
      <c r="I875" s="100"/>
      <c r="J875" s="100"/>
      <c r="K875" s="100"/>
      <c r="L875" s="100"/>
      <c r="M875" s="100"/>
      <c r="N875" s="100"/>
      <c r="O875" s="100"/>
      <c r="P875" s="100"/>
      <c r="Q875" s="100"/>
      <c r="R875" s="100"/>
      <c r="S875" s="100"/>
      <c r="T875" s="100"/>
      <c r="U875" s="100"/>
      <c r="V875" s="179"/>
      <c r="W875" s="140"/>
    </row>
    <row r="876" spans="1:25">
      <c r="A876" s="200" t="s">
        <v>679</v>
      </c>
      <c r="B876" s="52">
        <f t="shared" ref="B876:U876" si="1692">B79</f>
        <v>6.7499999999999999E-3</v>
      </c>
      <c r="C876" s="52">
        <f t="shared" si="1692"/>
        <v>0</v>
      </c>
      <c r="D876" s="52">
        <f t="shared" si="1692"/>
        <v>0</v>
      </c>
      <c r="E876" s="52">
        <f t="shared" si="1692"/>
        <v>6.7499999999999999E-3</v>
      </c>
      <c r="F876" s="52">
        <f t="shared" si="1692"/>
        <v>0</v>
      </c>
      <c r="G876" s="52">
        <f t="shared" si="1692"/>
        <v>0</v>
      </c>
      <c r="H876" s="52">
        <f t="shared" si="1692"/>
        <v>6.7499999999999999E-3</v>
      </c>
      <c r="I876" s="52">
        <f t="shared" si="1692"/>
        <v>0</v>
      </c>
      <c r="J876" s="52">
        <f t="shared" si="1692"/>
        <v>0</v>
      </c>
      <c r="K876" s="52">
        <f t="shared" si="1692"/>
        <v>6.7499999999999999E-3</v>
      </c>
      <c r="L876" s="52">
        <f t="shared" si="1692"/>
        <v>0</v>
      </c>
      <c r="M876" s="52">
        <f t="shared" si="1692"/>
        <v>0</v>
      </c>
      <c r="N876" s="52">
        <f t="shared" si="1692"/>
        <v>6.7499999999999999E-3</v>
      </c>
      <c r="O876" s="52">
        <f t="shared" si="1692"/>
        <v>0</v>
      </c>
      <c r="P876" s="52">
        <f t="shared" si="1692"/>
        <v>0</v>
      </c>
      <c r="Q876" s="52">
        <f t="shared" si="1692"/>
        <v>6.7499999999999999E-3</v>
      </c>
      <c r="R876" s="52">
        <f t="shared" si="1692"/>
        <v>0</v>
      </c>
      <c r="S876" s="52">
        <f t="shared" si="1692"/>
        <v>0</v>
      </c>
      <c r="T876" s="52">
        <f t="shared" si="1692"/>
        <v>6.7499999999999999E-3</v>
      </c>
      <c r="U876" s="52">
        <f t="shared" si="1692"/>
        <v>0</v>
      </c>
      <c r="V876" s="180">
        <f>SUM(B876:U876)</f>
        <v>4.725E-2</v>
      </c>
      <c r="W876" s="53">
        <f>V876/20</f>
        <v>2.3625E-3</v>
      </c>
    </row>
    <row r="877" spans="1:25" s="3" customFormat="1">
      <c r="A877" s="200" t="s">
        <v>680</v>
      </c>
      <c r="B877" s="52">
        <f>('Scenario 2 Assumptions'!$B$279*('Scenario 2 Assumptions'!$B$297*0.5)/20)</f>
        <v>1.6875000000000001E-4</v>
      </c>
      <c r="C877" s="52">
        <f>('Scenario 2 Assumptions'!$B$279*('Scenario 2 Assumptions'!$B$297*0.5)/20)</f>
        <v>1.6875000000000001E-4</v>
      </c>
      <c r="D877" s="52">
        <f>('Scenario 2 Assumptions'!$B$279*('Scenario 2 Assumptions'!$B$297*0.5)/20)</f>
        <v>1.6875000000000001E-4</v>
      </c>
      <c r="E877" s="52">
        <f>('Scenario 2 Assumptions'!$B$279*('Scenario 2 Assumptions'!$B$297*0.5)/20)</f>
        <v>1.6875000000000001E-4</v>
      </c>
      <c r="F877" s="52">
        <f>('Scenario 2 Assumptions'!$B$279*('Scenario 2 Assumptions'!$B$297*0.5)/20)</f>
        <v>1.6875000000000001E-4</v>
      </c>
      <c r="G877" s="52">
        <f>('Scenario 2 Assumptions'!$B$279*('Scenario 2 Assumptions'!$B$297*0.5)/20)</f>
        <v>1.6875000000000001E-4</v>
      </c>
      <c r="H877" s="52">
        <f>('Scenario 2 Assumptions'!$B$279*('Scenario 2 Assumptions'!$B$297*0.5)/20)</f>
        <v>1.6875000000000001E-4</v>
      </c>
      <c r="I877" s="52">
        <f>('Scenario 2 Assumptions'!$B$279*('Scenario 2 Assumptions'!$B$297*0.5)/20)</f>
        <v>1.6875000000000001E-4</v>
      </c>
      <c r="J877" s="52">
        <f>('Scenario 2 Assumptions'!$B$279*('Scenario 2 Assumptions'!$B$297*0.5)/20)</f>
        <v>1.6875000000000001E-4</v>
      </c>
      <c r="K877" s="52">
        <f>('Scenario 2 Assumptions'!$B$279*('Scenario 2 Assumptions'!$B$297*0.5)/20)</f>
        <v>1.6875000000000001E-4</v>
      </c>
      <c r="L877" s="52">
        <f>('Scenario 2 Assumptions'!$B$279*('Scenario 2 Assumptions'!$B$297*0.5)/20)</f>
        <v>1.6875000000000001E-4</v>
      </c>
      <c r="M877" s="52">
        <f>('Scenario 2 Assumptions'!$B$279*('Scenario 2 Assumptions'!$B$297*0.5)/20)</f>
        <v>1.6875000000000001E-4</v>
      </c>
      <c r="N877" s="52">
        <f>('Scenario 2 Assumptions'!$B$279*('Scenario 2 Assumptions'!$B$297*0.5)/20)</f>
        <v>1.6875000000000001E-4</v>
      </c>
      <c r="O877" s="52">
        <f>('Scenario 2 Assumptions'!$B$279*('Scenario 2 Assumptions'!$B$297*0.5)/20)</f>
        <v>1.6875000000000001E-4</v>
      </c>
      <c r="P877" s="52">
        <f>('Scenario 2 Assumptions'!$B$279*('Scenario 2 Assumptions'!$B$297*0.5)/20)</f>
        <v>1.6875000000000001E-4</v>
      </c>
      <c r="Q877" s="52">
        <f>('Scenario 2 Assumptions'!$B$279*('Scenario 2 Assumptions'!$B$297*0.5)/20)</f>
        <v>1.6875000000000001E-4</v>
      </c>
      <c r="R877" s="52">
        <f>('Scenario 2 Assumptions'!$B$279*('Scenario 2 Assumptions'!$B$297*0.5)/20)</f>
        <v>1.6875000000000001E-4</v>
      </c>
      <c r="S877" s="52">
        <f>('Scenario 2 Assumptions'!$B$279*('Scenario 2 Assumptions'!$B$297*0.5)/20)</f>
        <v>1.6875000000000001E-4</v>
      </c>
      <c r="T877" s="52">
        <f>('Scenario 2 Assumptions'!$B$279*('Scenario 2 Assumptions'!$B$297*0.5)/20)</f>
        <v>1.6875000000000001E-4</v>
      </c>
      <c r="U877" s="52">
        <f>('Scenario 2 Assumptions'!$B$279*('Scenario 2 Assumptions'!$B$297*0.5)/20)</f>
        <v>1.6875000000000001E-4</v>
      </c>
      <c r="V877" s="180">
        <f t="shared" ref="V877:V878" si="1693">SUM(B877:U877)</f>
        <v>3.3750000000000008E-3</v>
      </c>
      <c r="W877" s="53">
        <f t="shared" ref="W877:W878" si="1694">V877/20</f>
        <v>1.6875000000000004E-4</v>
      </c>
    </row>
    <row r="878" spans="1:25" ht="13.5" customHeight="1">
      <c r="A878" s="49" t="s">
        <v>664</v>
      </c>
      <c r="B878" s="34">
        <f>SUM(B876:B877)</f>
        <v>6.9187499999999996E-3</v>
      </c>
      <c r="C878" s="34">
        <f t="shared" ref="C878" si="1695">SUM(C876:C877)</f>
        <v>1.6875000000000001E-4</v>
      </c>
      <c r="D878" s="34">
        <f t="shared" ref="D878" si="1696">SUM(D876:D877)</f>
        <v>1.6875000000000001E-4</v>
      </c>
      <c r="E878" s="34">
        <f t="shared" ref="E878" si="1697">SUM(E876:E877)</f>
        <v>6.9187499999999996E-3</v>
      </c>
      <c r="F878" s="34">
        <f t="shared" ref="F878" si="1698">SUM(F876:F877)</f>
        <v>1.6875000000000001E-4</v>
      </c>
      <c r="G878" s="34">
        <f t="shared" ref="G878" si="1699">SUM(G876:G877)</f>
        <v>1.6875000000000001E-4</v>
      </c>
      <c r="H878" s="34">
        <f t="shared" ref="H878" si="1700">SUM(H876:H877)</f>
        <v>6.9187499999999996E-3</v>
      </c>
      <c r="I878" s="34">
        <f t="shared" ref="I878" si="1701">SUM(I876:I877)</f>
        <v>1.6875000000000001E-4</v>
      </c>
      <c r="J878" s="34">
        <f t="shared" ref="J878" si="1702">SUM(J876:J877)</f>
        <v>1.6875000000000001E-4</v>
      </c>
      <c r="K878" s="34">
        <f t="shared" ref="K878" si="1703">SUM(K876:K877)</f>
        <v>6.9187499999999996E-3</v>
      </c>
      <c r="L878" s="34">
        <f t="shared" ref="L878" si="1704">SUM(L876:L877)</f>
        <v>1.6875000000000001E-4</v>
      </c>
      <c r="M878" s="34">
        <f t="shared" ref="M878" si="1705">SUM(M876:M877)</f>
        <v>1.6875000000000001E-4</v>
      </c>
      <c r="N878" s="34">
        <f t="shared" ref="N878" si="1706">SUM(N876:N877)</f>
        <v>6.9187499999999996E-3</v>
      </c>
      <c r="O878" s="34">
        <f t="shared" ref="O878" si="1707">SUM(O876:O877)</f>
        <v>1.6875000000000001E-4</v>
      </c>
      <c r="P878" s="34">
        <f t="shared" ref="P878" si="1708">SUM(P876:P877)</f>
        <v>1.6875000000000001E-4</v>
      </c>
      <c r="Q878" s="34">
        <f t="shared" ref="Q878" si="1709">SUM(Q876:Q877)</f>
        <v>6.9187499999999996E-3</v>
      </c>
      <c r="R878" s="34">
        <f t="shared" ref="R878" si="1710">SUM(R876:R877)</f>
        <v>1.6875000000000001E-4</v>
      </c>
      <c r="S878" s="34">
        <f t="shared" ref="S878" si="1711">SUM(S876:S877)</f>
        <v>1.6875000000000001E-4</v>
      </c>
      <c r="T878" s="34">
        <f t="shared" ref="T878" si="1712">SUM(T876:T877)</f>
        <v>6.9187499999999996E-3</v>
      </c>
      <c r="U878" s="34">
        <f t="shared" ref="U878" si="1713">SUM(U876:U877)</f>
        <v>1.6875000000000001E-4</v>
      </c>
      <c r="V878" s="180">
        <f t="shared" si="1693"/>
        <v>5.062500000000001E-2</v>
      </c>
      <c r="W878" s="53">
        <f t="shared" si="1694"/>
        <v>2.5312500000000005E-3</v>
      </c>
    </row>
    <row r="879" spans="1:25" s="81" customFormat="1">
      <c r="A879" s="134" t="s">
        <v>123</v>
      </c>
      <c r="B879" s="52">
        <v>0.96618357487922713</v>
      </c>
      <c r="C879" s="52">
        <v>0.93351070036640305</v>
      </c>
      <c r="D879" s="52">
        <v>0.90194270566802237</v>
      </c>
      <c r="E879" s="52">
        <v>0.87144222769857238</v>
      </c>
      <c r="F879" s="52">
        <v>0.84197316685852419</v>
      </c>
      <c r="G879" s="52">
        <v>0.81350064430775282</v>
      </c>
      <c r="H879" s="52">
        <v>0.78599096068381913</v>
      </c>
      <c r="I879" s="52">
        <v>0.75941155621625056</v>
      </c>
      <c r="J879" s="52">
        <v>0.73373097218961414</v>
      </c>
      <c r="K879" s="52">
        <v>0.70891881370977217</v>
      </c>
      <c r="L879" s="52">
        <v>0.68494571372924851</v>
      </c>
      <c r="M879" s="52">
        <v>0.66178329828912896</v>
      </c>
      <c r="N879" s="52">
        <v>0.63940415293635666</v>
      </c>
      <c r="O879" s="52">
        <v>0.61778179027667302</v>
      </c>
      <c r="P879" s="52">
        <v>0.59689061862480497</v>
      </c>
      <c r="Q879" s="52">
        <v>0.57670591171478747</v>
      </c>
      <c r="R879" s="52">
        <v>0.55720377943457733</v>
      </c>
      <c r="S879" s="52">
        <v>0.53836113955031628</v>
      </c>
      <c r="T879" s="52">
        <v>0.52015569038677911</v>
      </c>
      <c r="U879" s="52">
        <v>0.50256588443167061</v>
      </c>
      <c r="V879" s="180"/>
      <c r="W879" s="133"/>
    </row>
    <row r="880" spans="1:25" s="81" customFormat="1">
      <c r="A880" s="50" t="s">
        <v>1069</v>
      </c>
      <c r="B880" s="34">
        <f t="shared" ref="B880:U880" si="1714">B879*B878</f>
        <v>6.6847826086956523E-3</v>
      </c>
      <c r="C880" s="34">
        <f t="shared" si="1714"/>
        <v>1.5752993068683053E-4</v>
      </c>
      <c r="D880" s="34">
        <f t="shared" si="1714"/>
        <v>1.5220283158147877E-4</v>
      </c>
      <c r="E880" s="34">
        <f t="shared" si="1714"/>
        <v>6.0292909128894972E-3</v>
      </c>
      <c r="F880" s="34">
        <f t="shared" si="1714"/>
        <v>1.4208297190737598E-4</v>
      </c>
      <c r="G880" s="34">
        <f t="shared" si="1714"/>
        <v>1.372782337269333E-4</v>
      </c>
      <c r="H880" s="34">
        <f t="shared" si="1714"/>
        <v>5.438074959231173E-3</v>
      </c>
      <c r="I880" s="34">
        <f t="shared" si="1714"/>
        <v>1.281507001114923E-4</v>
      </c>
      <c r="J880" s="34">
        <f t="shared" si="1714"/>
        <v>1.238171015569974E-4</v>
      </c>
      <c r="K880" s="34">
        <f t="shared" si="1714"/>
        <v>4.9048320423544858E-3</v>
      </c>
      <c r="L880" s="34">
        <f t="shared" si="1714"/>
        <v>1.1558458919181069E-4</v>
      </c>
      <c r="M880" s="34">
        <f t="shared" si="1714"/>
        <v>1.1167593158629052E-4</v>
      </c>
      <c r="N880" s="34">
        <f t="shared" si="1714"/>
        <v>4.4238774831284172E-3</v>
      </c>
      <c r="O880" s="34">
        <f t="shared" si="1714"/>
        <v>1.0425067710918858E-4</v>
      </c>
      <c r="P880" s="34">
        <f t="shared" si="1714"/>
        <v>1.0072529189293584E-4</v>
      </c>
      <c r="Q880" s="34">
        <f t="shared" si="1714"/>
        <v>3.9900840266766857E-3</v>
      </c>
      <c r="R880" s="34">
        <f t="shared" si="1714"/>
        <v>9.402813777958493E-5</v>
      </c>
      <c r="S880" s="34">
        <f t="shared" si="1714"/>
        <v>9.0848442299115879E-5</v>
      </c>
      <c r="T880" s="34">
        <f t="shared" si="1714"/>
        <v>3.5988271828635279E-3</v>
      </c>
      <c r="U880" s="34">
        <f t="shared" si="1714"/>
        <v>8.4807992997844422E-5</v>
      </c>
      <c r="V880" s="182">
        <f>SUM(B880:U880)</f>
        <v>3.6612752048267319E-2</v>
      </c>
      <c r="W880" s="35"/>
    </row>
    <row r="881" spans="1:23">
      <c r="A881" s="49"/>
      <c r="B881" s="34"/>
      <c r="C881" s="34"/>
      <c r="D881" s="34"/>
      <c r="E881" s="34"/>
      <c r="F881" s="34"/>
      <c r="G881" s="34"/>
      <c r="H881" s="34"/>
      <c r="I881" s="34"/>
      <c r="J881" s="34"/>
      <c r="K881" s="34"/>
      <c r="L881" s="34"/>
      <c r="M881" s="34"/>
      <c r="N881" s="34"/>
      <c r="O881" s="34"/>
      <c r="P881" s="34"/>
      <c r="Q881" s="34"/>
      <c r="R881" s="34"/>
      <c r="S881" s="34"/>
      <c r="T881" s="34"/>
      <c r="U881" s="34"/>
      <c r="V881" s="182"/>
      <c r="W881" s="35"/>
    </row>
    <row r="882" spans="1:23">
      <c r="A882" s="131" t="s">
        <v>1076</v>
      </c>
      <c r="B882" s="100"/>
      <c r="C882" s="100"/>
      <c r="D882" s="100"/>
      <c r="E882" s="100"/>
      <c r="F882" s="100"/>
      <c r="G882" s="100"/>
      <c r="H882" s="100"/>
      <c r="I882" s="100"/>
      <c r="J882" s="100"/>
      <c r="K882" s="100"/>
      <c r="L882" s="100"/>
      <c r="M882" s="100"/>
      <c r="N882" s="100"/>
      <c r="O882" s="100"/>
      <c r="P882" s="100"/>
      <c r="Q882" s="100"/>
      <c r="R882" s="100"/>
      <c r="S882" s="100"/>
      <c r="T882" s="100"/>
      <c r="U882" s="100"/>
      <c r="V882" s="179"/>
      <c r="W882" s="140"/>
    </row>
    <row r="883" spans="1:23">
      <c r="A883" s="200" t="s">
        <v>679</v>
      </c>
      <c r="B883" s="52">
        <f t="shared" ref="B883:U883" si="1715">B80</f>
        <v>6.7499999999999999E-3</v>
      </c>
      <c r="C883" s="52">
        <f t="shared" si="1715"/>
        <v>0</v>
      </c>
      <c r="D883" s="52">
        <f t="shared" si="1715"/>
        <v>0</v>
      </c>
      <c r="E883" s="52">
        <f t="shared" si="1715"/>
        <v>6.7499999999999999E-3</v>
      </c>
      <c r="F883" s="52">
        <f t="shared" si="1715"/>
        <v>0</v>
      </c>
      <c r="G883" s="52">
        <f t="shared" si="1715"/>
        <v>0</v>
      </c>
      <c r="H883" s="52">
        <f t="shared" si="1715"/>
        <v>6.7499999999999999E-3</v>
      </c>
      <c r="I883" s="52">
        <f t="shared" si="1715"/>
        <v>0</v>
      </c>
      <c r="J883" s="52">
        <f t="shared" si="1715"/>
        <v>0</v>
      </c>
      <c r="K883" s="52">
        <f t="shared" si="1715"/>
        <v>6.7499999999999999E-3</v>
      </c>
      <c r="L883" s="52">
        <f t="shared" si="1715"/>
        <v>0</v>
      </c>
      <c r="M883" s="52">
        <f t="shared" si="1715"/>
        <v>0</v>
      </c>
      <c r="N883" s="52">
        <f t="shared" si="1715"/>
        <v>6.7499999999999999E-3</v>
      </c>
      <c r="O883" s="52">
        <f t="shared" si="1715"/>
        <v>0</v>
      </c>
      <c r="P883" s="52">
        <f t="shared" si="1715"/>
        <v>0</v>
      </c>
      <c r="Q883" s="52">
        <f t="shared" si="1715"/>
        <v>6.7499999999999999E-3</v>
      </c>
      <c r="R883" s="52">
        <f t="shared" si="1715"/>
        <v>0</v>
      </c>
      <c r="S883" s="52">
        <f t="shared" si="1715"/>
        <v>0</v>
      </c>
      <c r="T883" s="52">
        <f t="shared" si="1715"/>
        <v>6.7499999999999999E-3</v>
      </c>
      <c r="U883" s="52">
        <f t="shared" si="1715"/>
        <v>0</v>
      </c>
      <c r="V883" s="180">
        <f>SUM(B883:U883)</f>
        <v>4.725E-2</v>
      </c>
      <c r="W883" s="53">
        <f>V883/20</f>
        <v>2.3625E-3</v>
      </c>
    </row>
    <row r="884" spans="1:23" s="3" customFormat="1">
      <c r="A884" s="200" t="s">
        <v>680</v>
      </c>
      <c r="B884" s="52">
        <f>('Scenario 2 Assumptions'!$B$279*('Scenario 2 Assumptions'!$B$298*0.5)/20)+B103</f>
        <v>1.18125E-3</v>
      </c>
      <c r="C884" s="52">
        <f>('Scenario 2 Assumptions'!$B$279*('Scenario 2 Assumptions'!$B$298*0.5)/20)+C103</f>
        <v>1.18125E-3</v>
      </c>
      <c r="D884" s="52">
        <f>('Scenario 2 Assumptions'!$B$279*('Scenario 2 Assumptions'!$B$298*0.5)/20)+D103</f>
        <v>1.18125E-3</v>
      </c>
      <c r="E884" s="52">
        <f>('Scenario 2 Assumptions'!$B$279*('Scenario 2 Assumptions'!$B$298*0.5)/20)+E103</f>
        <v>1.18125E-3</v>
      </c>
      <c r="F884" s="52">
        <f>('Scenario 2 Assumptions'!$B$279*('Scenario 2 Assumptions'!$B$298*0.5)/20)+F103</f>
        <v>1.18125E-3</v>
      </c>
      <c r="G884" s="52">
        <f>('Scenario 2 Assumptions'!$B$279*('Scenario 2 Assumptions'!$B$298*0.5)/20)+G103</f>
        <v>1.18125E-3</v>
      </c>
      <c r="H884" s="52">
        <f>('Scenario 2 Assumptions'!$B$279*('Scenario 2 Assumptions'!$B$298*0.5)/20)+H103</f>
        <v>1.18125E-3</v>
      </c>
      <c r="I884" s="52">
        <f>('Scenario 2 Assumptions'!$B$279*('Scenario 2 Assumptions'!$B$298*0.5)/20)+I103</f>
        <v>1.18125E-3</v>
      </c>
      <c r="J884" s="52">
        <f>('Scenario 2 Assumptions'!$B$279*('Scenario 2 Assumptions'!$B$298*0.5)/20)+J103</f>
        <v>1.18125E-3</v>
      </c>
      <c r="K884" s="52">
        <f>('Scenario 2 Assumptions'!$B$279*('Scenario 2 Assumptions'!$B$298*0.5)/20)+K103</f>
        <v>1.18125E-3</v>
      </c>
      <c r="L884" s="52">
        <f>('Scenario 2 Assumptions'!$B$279*('Scenario 2 Assumptions'!$B$298*0.5)/20)+L103</f>
        <v>1.18125E-3</v>
      </c>
      <c r="M884" s="52">
        <f>('Scenario 2 Assumptions'!$B$279*('Scenario 2 Assumptions'!$B$298*0.5)/20)+M103</f>
        <v>1.18125E-3</v>
      </c>
      <c r="N884" s="52">
        <f>('Scenario 2 Assumptions'!$B$279*('Scenario 2 Assumptions'!$B$298*0.5)/20)+N103</f>
        <v>1.18125E-3</v>
      </c>
      <c r="O884" s="52">
        <f>('Scenario 2 Assumptions'!$B$279*('Scenario 2 Assumptions'!$B$298*0.5)/20)+O103</f>
        <v>1.18125E-3</v>
      </c>
      <c r="P884" s="52">
        <f>('Scenario 2 Assumptions'!$B$279*('Scenario 2 Assumptions'!$B$298*0.5)/20)+P103</f>
        <v>1.18125E-3</v>
      </c>
      <c r="Q884" s="52">
        <f>('Scenario 2 Assumptions'!$B$279*('Scenario 2 Assumptions'!$B$298*0.5)/20)+Q103</f>
        <v>1.18125E-3</v>
      </c>
      <c r="R884" s="52">
        <f>('Scenario 2 Assumptions'!$B$279*('Scenario 2 Assumptions'!$B$298*0.5)/20)+R103</f>
        <v>1.18125E-3</v>
      </c>
      <c r="S884" s="52">
        <f>('Scenario 2 Assumptions'!$B$279*('Scenario 2 Assumptions'!$B$298*0.5)/20)+S103</f>
        <v>1.18125E-3</v>
      </c>
      <c r="T884" s="52">
        <f>('Scenario 2 Assumptions'!$B$279*('Scenario 2 Assumptions'!$B$298*0.5)/20)+T103</f>
        <v>1.18125E-3</v>
      </c>
      <c r="U884" s="52">
        <f>('Scenario 2 Assumptions'!$B$279*('Scenario 2 Assumptions'!$B$298*0.5)/20)+U103</f>
        <v>1.18125E-3</v>
      </c>
      <c r="V884" s="180">
        <f t="shared" ref="V884:V885" si="1716">SUM(B884:U884)</f>
        <v>2.3625000000000007E-2</v>
      </c>
      <c r="W884" s="53">
        <f t="shared" ref="W884:W885" si="1717">V884/20</f>
        <v>1.1812500000000004E-3</v>
      </c>
    </row>
    <row r="885" spans="1:23" ht="13.5" customHeight="1">
      <c r="A885" s="49" t="s">
        <v>664</v>
      </c>
      <c r="B885" s="34">
        <f>SUM(B883:B884)</f>
        <v>7.9312500000000008E-3</v>
      </c>
      <c r="C885" s="34">
        <f t="shared" ref="C885" si="1718">SUM(C883:C884)</f>
        <v>1.18125E-3</v>
      </c>
      <c r="D885" s="34">
        <f t="shared" ref="D885" si="1719">SUM(D883:D884)</f>
        <v>1.18125E-3</v>
      </c>
      <c r="E885" s="34">
        <f t="shared" ref="E885" si="1720">SUM(E883:E884)</f>
        <v>7.9312500000000008E-3</v>
      </c>
      <c r="F885" s="34">
        <f t="shared" ref="F885" si="1721">SUM(F883:F884)</f>
        <v>1.18125E-3</v>
      </c>
      <c r="G885" s="34">
        <f t="shared" ref="G885" si="1722">SUM(G883:G884)</f>
        <v>1.18125E-3</v>
      </c>
      <c r="H885" s="34">
        <f t="shared" ref="H885" si="1723">SUM(H883:H884)</f>
        <v>7.9312500000000008E-3</v>
      </c>
      <c r="I885" s="34">
        <f t="shared" ref="I885" si="1724">SUM(I883:I884)</f>
        <v>1.18125E-3</v>
      </c>
      <c r="J885" s="34">
        <f t="shared" ref="J885" si="1725">SUM(J883:J884)</f>
        <v>1.18125E-3</v>
      </c>
      <c r="K885" s="34">
        <f t="shared" ref="K885" si="1726">SUM(K883:K884)</f>
        <v>7.9312500000000008E-3</v>
      </c>
      <c r="L885" s="34">
        <f t="shared" ref="L885" si="1727">SUM(L883:L884)</f>
        <v>1.18125E-3</v>
      </c>
      <c r="M885" s="34">
        <f t="shared" ref="M885" si="1728">SUM(M883:M884)</f>
        <v>1.18125E-3</v>
      </c>
      <c r="N885" s="34">
        <f t="shared" ref="N885" si="1729">SUM(N883:N884)</f>
        <v>7.9312500000000008E-3</v>
      </c>
      <c r="O885" s="34">
        <f t="shared" ref="O885" si="1730">SUM(O883:O884)</f>
        <v>1.18125E-3</v>
      </c>
      <c r="P885" s="34">
        <f t="shared" ref="P885" si="1731">SUM(P883:P884)</f>
        <v>1.18125E-3</v>
      </c>
      <c r="Q885" s="34">
        <f t="shared" ref="Q885" si="1732">SUM(Q883:Q884)</f>
        <v>7.9312500000000008E-3</v>
      </c>
      <c r="R885" s="34">
        <f t="shared" ref="R885" si="1733">SUM(R883:R884)</f>
        <v>1.18125E-3</v>
      </c>
      <c r="S885" s="34">
        <f t="shared" ref="S885" si="1734">SUM(S883:S884)</f>
        <v>1.18125E-3</v>
      </c>
      <c r="T885" s="34">
        <f t="shared" ref="T885" si="1735">SUM(T883:T884)</f>
        <v>7.9312500000000008E-3</v>
      </c>
      <c r="U885" s="34">
        <f t="shared" ref="U885" si="1736">SUM(U883:U884)</f>
        <v>1.18125E-3</v>
      </c>
      <c r="V885" s="180">
        <f t="shared" si="1716"/>
        <v>7.0875000000000021E-2</v>
      </c>
      <c r="W885" s="53">
        <f t="shared" si="1717"/>
        <v>3.5437500000000009E-3</v>
      </c>
    </row>
    <row r="886" spans="1:23" s="81" customFormat="1">
      <c r="A886" s="134" t="s">
        <v>123</v>
      </c>
      <c r="B886" s="52">
        <v>0.96618357487922713</v>
      </c>
      <c r="C886" s="52">
        <v>0.93351070036640305</v>
      </c>
      <c r="D886" s="52">
        <v>0.90194270566802237</v>
      </c>
      <c r="E886" s="52">
        <v>0.87144222769857238</v>
      </c>
      <c r="F886" s="52">
        <v>0.84197316685852419</v>
      </c>
      <c r="G886" s="52">
        <v>0.81350064430775282</v>
      </c>
      <c r="H886" s="52">
        <v>0.78599096068381913</v>
      </c>
      <c r="I886" s="52">
        <v>0.75941155621625056</v>
      </c>
      <c r="J886" s="52">
        <v>0.73373097218961414</v>
      </c>
      <c r="K886" s="52">
        <v>0.70891881370977217</v>
      </c>
      <c r="L886" s="52">
        <v>0.68494571372924851</v>
      </c>
      <c r="M886" s="52">
        <v>0.66178329828912896</v>
      </c>
      <c r="N886" s="52">
        <v>0.63940415293635666</v>
      </c>
      <c r="O886" s="52">
        <v>0.61778179027667302</v>
      </c>
      <c r="P886" s="52">
        <v>0.59689061862480497</v>
      </c>
      <c r="Q886" s="52">
        <v>0.57670591171478747</v>
      </c>
      <c r="R886" s="52">
        <v>0.55720377943457733</v>
      </c>
      <c r="S886" s="52">
        <v>0.53836113955031628</v>
      </c>
      <c r="T886" s="52">
        <v>0.52015569038677911</v>
      </c>
      <c r="U886" s="52">
        <v>0.50256588443167061</v>
      </c>
      <c r="V886" s="180"/>
      <c r="W886" s="133"/>
    </row>
    <row r="887" spans="1:23" s="81" customFormat="1">
      <c r="A887" s="50" t="s">
        <v>1069</v>
      </c>
      <c r="B887" s="34">
        <f t="shared" ref="B887:U887" si="1737">B886*B885</f>
        <v>7.6630434782608706E-3</v>
      </c>
      <c r="C887" s="34">
        <f t="shared" si="1737"/>
        <v>1.1027095148078137E-3</v>
      </c>
      <c r="D887" s="34">
        <f t="shared" si="1737"/>
        <v>1.0654198210703514E-3</v>
      </c>
      <c r="E887" s="34">
        <f t="shared" si="1737"/>
        <v>6.9116261684343027E-3</v>
      </c>
      <c r="F887" s="34">
        <f t="shared" si="1737"/>
        <v>9.9458080335163165E-4</v>
      </c>
      <c r="G887" s="34">
        <f t="shared" si="1737"/>
        <v>9.6094763608853306E-4</v>
      </c>
      <c r="H887" s="34">
        <f t="shared" si="1737"/>
        <v>6.2338908069235408E-3</v>
      </c>
      <c r="I887" s="34">
        <f t="shared" si="1737"/>
        <v>8.97054900780446E-4</v>
      </c>
      <c r="J887" s="34">
        <f t="shared" si="1737"/>
        <v>8.6671971089898167E-4</v>
      </c>
      <c r="K887" s="34">
        <f t="shared" si="1737"/>
        <v>5.6226123412356308E-3</v>
      </c>
      <c r="L887" s="34">
        <f t="shared" si="1737"/>
        <v>8.090921243426748E-4</v>
      </c>
      <c r="M887" s="34">
        <f t="shared" si="1737"/>
        <v>7.8173152110403354E-4</v>
      </c>
      <c r="N887" s="34">
        <f t="shared" si="1737"/>
        <v>5.0712741879764796E-3</v>
      </c>
      <c r="O887" s="34">
        <f t="shared" si="1737"/>
        <v>7.2975473976432E-4</v>
      </c>
      <c r="P887" s="34">
        <f t="shared" si="1737"/>
        <v>7.0507704325055084E-4</v>
      </c>
      <c r="Q887" s="34">
        <f t="shared" si="1737"/>
        <v>4.5739987622879083E-3</v>
      </c>
      <c r="R887" s="34">
        <f t="shared" si="1737"/>
        <v>6.5819696445709448E-4</v>
      </c>
      <c r="S887" s="34">
        <f t="shared" si="1737"/>
        <v>6.3593909609381116E-4</v>
      </c>
      <c r="T887" s="34">
        <f t="shared" si="1737"/>
        <v>4.1254848193801423E-3</v>
      </c>
      <c r="U887" s="34">
        <f t="shared" si="1737"/>
        <v>5.9365595098491094E-4</v>
      </c>
      <c r="V887" s="182">
        <f>SUM(B887:U887)</f>
        <v>5.1002810391494027E-2</v>
      </c>
      <c r="W887" s="35"/>
    </row>
    <row r="888" spans="1:23">
      <c r="A888" s="49"/>
      <c r="B888" s="34"/>
      <c r="C888" s="34"/>
      <c r="D888" s="34"/>
      <c r="E888" s="34"/>
      <c r="F888" s="34"/>
      <c r="G888" s="34"/>
      <c r="H888" s="34"/>
      <c r="I888" s="34"/>
      <c r="J888" s="34"/>
      <c r="K888" s="34"/>
      <c r="L888" s="34"/>
      <c r="M888" s="34"/>
      <c r="N888" s="34"/>
      <c r="O888" s="34"/>
      <c r="P888" s="34"/>
      <c r="Q888" s="34"/>
      <c r="R888" s="34"/>
      <c r="S888" s="34"/>
      <c r="T888" s="34"/>
      <c r="U888" s="34"/>
      <c r="V888" s="182"/>
      <c r="W888" s="35"/>
    </row>
    <row r="889" spans="1:23">
      <c r="A889" s="131" t="s">
        <v>1075</v>
      </c>
      <c r="B889" s="100"/>
      <c r="C889" s="100"/>
      <c r="D889" s="100"/>
      <c r="E889" s="100"/>
      <c r="F889" s="100"/>
      <c r="G889" s="100"/>
      <c r="H889" s="100"/>
      <c r="I889" s="100"/>
      <c r="J889" s="100"/>
      <c r="K889" s="100"/>
      <c r="L889" s="100"/>
      <c r="M889" s="100"/>
      <c r="N889" s="100"/>
      <c r="O889" s="100"/>
      <c r="P889" s="100"/>
      <c r="Q889" s="100"/>
      <c r="R889" s="100"/>
      <c r="S889" s="100"/>
      <c r="T889" s="100"/>
      <c r="U889" s="100"/>
      <c r="V889" s="179"/>
      <c r="W889" s="140"/>
    </row>
    <row r="890" spans="1:23">
      <c r="A890" s="200" t="s">
        <v>679</v>
      </c>
      <c r="B890" s="52">
        <f t="shared" ref="B890:U890" si="1738">B81</f>
        <v>6.7499999999999999E-3</v>
      </c>
      <c r="C890" s="52">
        <f t="shared" si="1738"/>
        <v>0</v>
      </c>
      <c r="D890" s="52">
        <f t="shared" si="1738"/>
        <v>0</v>
      </c>
      <c r="E890" s="52">
        <f t="shared" si="1738"/>
        <v>6.7499999999999999E-3</v>
      </c>
      <c r="F890" s="52">
        <f t="shared" si="1738"/>
        <v>0</v>
      </c>
      <c r="G890" s="52">
        <f t="shared" si="1738"/>
        <v>0</v>
      </c>
      <c r="H890" s="52">
        <f t="shared" si="1738"/>
        <v>6.7499999999999999E-3</v>
      </c>
      <c r="I890" s="52">
        <f t="shared" si="1738"/>
        <v>0</v>
      </c>
      <c r="J890" s="52">
        <f t="shared" si="1738"/>
        <v>0</v>
      </c>
      <c r="K890" s="52">
        <f t="shared" si="1738"/>
        <v>6.7499999999999999E-3</v>
      </c>
      <c r="L890" s="52">
        <f t="shared" si="1738"/>
        <v>0</v>
      </c>
      <c r="M890" s="52">
        <f t="shared" si="1738"/>
        <v>0</v>
      </c>
      <c r="N890" s="52">
        <f t="shared" si="1738"/>
        <v>6.7499999999999999E-3</v>
      </c>
      <c r="O890" s="52">
        <f t="shared" si="1738"/>
        <v>0</v>
      </c>
      <c r="P890" s="52">
        <f t="shared" si="1738"/>
        <v>0</v>
      </c>
      <c r="Q890" s="52">
        <f t="shared" si="1738"/>
        <v>6.7499999999999999E-3</v>
      </c>
      <c r="R890" s="52">
        <f t="shared" si="1738"/>
        <v>0</v>
      </c>
      <c r="S890" s="52">
        <f t="shared" si="1738"/>
        <v>0</v>
      </c>
      <c r="T890" s="52">
        <f t="shared" si="1738"/>
        <v>6.7499999999999999E-3</v>
      </c>
      <c r="U890" s="52">
        <f t="shared" si="1738"/>
        <v>0</v>
      </c>
      <c r="V890" s="180">
        <f>SUM(B890:U890)</f>
        <v>4.725E-2</v>
      </c>
      <c r="W890" s="53">
        <f>V890/20</f>
        <v>2.3625E-3</v>
      </c>
    </row>
    <row r="891" spans="1:23" s="3" customFormat="1">
      <c r="A891" s="200" t="s">
        <v>680</v>
      </c>
      <c r="B891" s="52">
        <f>('Scenario 2 Assumptions'!$B$279*('Scenario 2 Assumptions'!$B$299*0.5)/20)+B110</f>
        <v>1.85625E-3</v>
      </c>
      <c r="C891" s="52">
        <f>('Scenario 2 Assumptions'!$B$279*('Scenario 2 Assumptions'!$B$299*0.5)/20)+C110</f>
        <v>1.85625E-3</v>
      </c>
      <c r="D891" s="52">
        <f>('Scenario 2 Assumptions'!$B$279*('Scenario 2 Assumptions'!$B$299*0.5)/20)+D110</f>
        <v>1.85625E-3</v>
      </c>
      <c r="E891" s="52">
        <f>('Scenario 2 Assumptions'!$B$279*('Scenario 2 Assumptions'!$B$299*0.5)/20)+E110</f>
        <v>1.85625E-3</v>
      </c>
      <c r="F891" s="52">
        <f>('Scenario 2 Assumptions'!$B$279*('Scenario 2 Assumptions'!$B$299*0.5)/20)+F110</f>
        <v>1.85625E-3</v>
      </c>
      <c r="G891" s="52">
        <f>('Scenario 2 Assumptions'!$B$279*('Scenario 2 Assumptions'!$B$299*0.5)/20)+G110</f>
        <v>1.85625E-3</v>
      </c>
      <c r="H891" s="52">
        <f>('Scenario 2 Assumptions'!$B$279*('Scenario 2 Assumptions'!$B$299*0.5)/20)+H110</f>
        <v>1.85625E-3</v>
      </c>
      <c r="I891" s="52">
        <f>('Scenario 2 Assumptions'!$B$279*('Scenario 2 Assumptions'!$B$299*0.5)/20)+I110</f>
        <v>1.85625E-3</v>
      </c>
      <c r="J891" s="52">
        <f>('Scenario 2 Assumptions'!$B$279*('Scenario 2 Assumptions'!$B$299*0.5)/20)+J110</f>
        <v>1.85625E-3</v>
      </c>
      <c r="K891" s="52">
        <f>('Scenario 2 Assumptions'!$B$279*('Scenario 2 Assumptions'!$B$299*0.5)/20)+K110</f>
        <v>1.85625E-3</v>
      </c>
      <c r="L891" s="52">
        <f>('Scenario 2 Assumptions'!$B$279*('Scenario 2 Assumptions'!$B$299*0.5)/20)+L110</f>
        <v>1.85625E-3</v>
      </c>
      <c r="M891" s="52">
        <f>('Scenario 2 Assumptions'!$B$279*('Scenario 2 Assumptions'!$B$299*0.5)/20)+M110</f>
        <v>1.85625E-3</v>
      </c>
      <c r="N891" s="52">
        <f>('Scenario 2 Assumptions'!$B$279*('Scenario 2 Assumptions'!$B$299*0.5)/20)+N110</f>
        <v>1.85625E-3</v>
      </c>
      <c r="O891" s="52">
        <f>('Scenario 2 Assumptions'!$B$279*('Scenario 2 Assumptions'!$B$299*0.5)/20)+O110</f>
        <v>1.85625E-3</v>
      </c>
      <c r="P891" s="52">
        <f>('Scenario 2 Assumptions'!$B$279*('Scenario 2 Assumptions'!$B$299*0.5)/20)+P110</f>
        <v>1.85625E-3</v>
      </c>
      <c r="Q891" s="52">
        <f>('Scenario 2 Assumptions'!$B$279*('Scenario 2 Assumptions'!$B$299*0.5)/20)+Q110</f>
        <v>1.85625E-3</v>
      </c>
      <c r="R891" s="52">
        <f>('Scenario 2 Assumptions'!$B$279*('Scenario 2 Assumptions'!$B$299*0.5)/20)+R110</f>
        <v>1.85625E-3</v>
      </c>
      <c r="S891" s="52">
        <f>('Scenario 2 Assumptions'!$B$279*('Scenario 2 Assumptions'!$B$299*0.5)/20)+S110</f>
        <v>1.85625E-3</v>
      </c>
      <c r="T891" s="52">
        <f>('Scenario 2 Assumptions'!$B$279*('Scenario 2 Assumptions'!$B$299*0.5)/20)+T110</f>
        <v>1.85625E-3</v>
      </c>
      <c r="U891" s="52">
        <f>('Scenario 2 Assumptions'!$B$279*('Scenario 2 Assumptions'!$B$299*0.5)/20)+U110</f>
        <v>1.85625E-3</v>
      </c>
      <c r="V891" s="180">
        <f t="shared" ref="V891:V892" si="1739">SUM(B891:U891)</f>
        <v>3.7124999999999991E-2</v>
      </c>
      <c r="W891" s="53">
        <f t="shared" ref="W891:W892" si="1740">V891/20</f>
        <v>1.8562499999999996E-3</v>
      </c>
    </row>
    <row r="892" spans="1:23" ht="13.5" customHeight="1">
      <c r="A892" s="49" t="s">
        <v>664</v>
      </c>
      <c r="B892" s="34">
        <f>SUM(B890:B891)</f>
        <v>8.6062499999999993E-3</v>
      </c>
      <c r="C892" s="34">
        <f t="shared" ref="C892" si="1741">SUM(C890:C891)</f>
        <v>1.85625E-3</v>
      </c>
      <c r="D892" s="34">
        <f t="shared" ref="D892" si="1742">SUM(D890:D891)</f>
        <v>1.85625E-3</v>
      </c>
      <c r="E892" s="34">
        <f t="shared" ref="E892" si="1743">SUM(E890:E891)</f>
        <v>8.6062499999999993E-3</v>
      </c>
      <c r="F892" s="34">
        <f t="shared" ref="F892" si="1744">SUM(F890:F891)</f>
        <v>1.85625E-3</v>
      </c>
      <c r="G892" s="34">
        <f t="shared" ref="G892" si="1745">SUM(G890:G891)</f>
        <v>1.85625E-3</v>
      </c>
      <c r="H892" s="34">
        <f t="shared" ref="H892" si="1746">SUM(H890:H891)</f>
        <v>8.6062499999999993E-3</v>
      </c>
      <c r="I892" s="34">
        <f t="shared" ref="I892" si="1747">SUM(I890:I891)</f>
        <v>1.85625E-3</v>
      </c>
      <c r="J892" s="34">
        <f t="shared" ref="J892" si="1748">SUM(J890:J891)</f>
        <v>1.85625E-3</v>
      </c>
      <c r="K892" s="34">
        <f t="shared" ref="K892" si="1749">SUM(K890:K891)</f>
        <v>8.6062499999999993E-3</v>
      </c>
      <c r="L892" s="34">
        <f t="shared" ref="L892" si="1750">SUM(L890:L891)</f>
        <v>1.85625E-3</v>
      </c>
      <c r="M892" s="34">
        <f t="shared" ref="M892" si="1751">SUM(M890:M891)</f>
        <v>1.85625E-3</v>
      </c>
      <c r="N892" s="34">
        <f t="shared" ref="N892" si="1752">SUM(N890:N891)</f>
        <v>8.6062499999999993E-3</v>
      </c>
      <c r="O892" s="34">
        <f t="shared" ref="O892" si="1753">SUM(O890:O891)</f>
        <v>1.85625E-3</v>
      </c>
      <c r="P892" s="34">
        <f t="shared" ref="P892" si="1754">SUM(P890:P891)</f>
        <v>1.85625E-3</v>
      </c>
      <c r="Q892" s="34">
        <f t="shared" ref="Q892" si="1755">SUM(Q890:Q891)</f>
        <v>8.6062499999999993E-3</v>
      </c>
      <c r="R892" s="34">
        <f t="shared" ref="R892" si="1756">SUM(R890:R891)</f>
        <v>1.85625E-3</v>
      </c>
      <c r="S892" s="34">
        <f t="shared" ref="S892" si="1757">SUM(S890:S891)</f>
        <v>1.85625E-3</v>
      </c>
      <c r="T892" s="34">
        <f t="shared" ref="T892" si="1758">SUM(T890:T891)</f>
        <v>8.6062499999999993E-3</v>
      </c>
      <c r="U892" s="34">
        <f t="shared" ref="U892" si="1759">SUM(U890:U891)</f>
        <v>1.85625E-3</v>
      </c>
      <c r="V892" s="180">
        <f t="shared" si="1739"/>
        <v>8.4374999999999978E-2</v>
      </c>
      <c r="W892" s="53">
        <f t="shared" si="1740"/>
        <v>4.2187499999999985E-3</v>
      </c>
    </row>
    <row r="893" spans="1:23" s="81" customFormat="1">
      <c r="A893" s="134" t="s">
        <v>123</v>
      </c>
      <c r="B893" s="52">
        <v>0.96618357487922713</v>
      </c>
      <c r="C893" s="52">
        <v>0.93351070036640305</v>
      </c>
      <c r="D893" s="52">
        <v>0.90194270566802237</v>
      </c>
      <c r="E893" s="52">
        <v>0.87144222769857238</v>
      </c>
      <c r="F893" s="52">
        <v>0.84197316685852419</v>
      </c>
      <c r="G893" s="52">
        <v>0.81350064430775282</v>
      </c>
      <c r="H893" s="52">
        <v>0.78599096068381913</v>
      </c>
      <c r="I893" s="52">
        <v>0.75941155621625056</v>
      </c>
      <c r="J893" s="52">
        <v>0.73373097218961414</v>
      </c>
      <c r="K893" s="52">
        <v>0.70891881370977217</v>
      </c>
      <c r="L893" s="52">
        <v>0.68494571372924851</v>
      </c>
      <c r="M893" s="52">
        <v>0.66178329828912896</v>
      </c>
      <c r="N893" s="52">
        <v>0.63940415293635666</v>
      </c>
      <c r="O893" s="52">
        <v>0.61778179027667302</v>
      </c>
      <c r="P893" s="52">
        <v>0.59689061862480497</v>
      </c>
      <c r="Q893" s="52">
        <v>0.57670591171478747</v>
      </c>
      <c r="R893" s="52">
        <v>0.55720377943457733</v>
      </c>
      <c r="S893" s="52">
        <v>0.53836113955031628</v>
      </c>
      <c r="T893" s="52">
        <v>0.52015569038677911</v>
      </c>
      <c r="U893" s="52">
        <v>0.50256588443167061</v>
      </c>
      <c r="V893" s="180"/>
      <c r="W893" s="133"/>
    </row>
    <row r="894" spans="1:23" s="81" customFormat="1">
      <c r="A894" s="50" t="s">
        <v>1069</v>
      </c>
      <c r="B894" s="34">
        <f t="shared" ref="B894:U894" si="1760">B893*B892</f>
        <v>8.315217391304348E-3</v>
      </c>
      <c r="C894" s="34">
        <f t="shared" si="1760"/>
        <v>1.7328292375551357E-3</v>
      </c>
      <c r="D894" s="34">
        <f t="shared" si="1760"/>
        <v>1.6742311473962666E-3</v>
      </c>
      <c r="E894" s="34">
        <f t="shared" si="1760"/>
        <v>7.4998496721308382E-3</v>
      </c>
      <c r="F894" s="34">
        <f t="shared" si="1760"/>
        <v>1.5629126909811357E-3</v>
      </c>
      <c r="G894" s="34">
        <f t="shared" si="1760"/>
        <v>1.5100605709962662E-3</v>
      </c>
      <c r="H894" s="34">
        <f t="shared" si="1760"/>
        <v>6.7644347053851181E-3</v>
      </c>
      <c r="I894" s="34">
        <f t="shared" si="1760"/>
        <v>1.4096577012264152E-3</v>
      </c>
      <c r="J894" s="34">
        <f t="shared" si="1760"/>
        <v>1.3619881171269713E-3</v>
      </c>
      <c r="K894" s="34">
        <f t="shared" si="1760"/>
        <v>6.1011325404897263E-3</v>
      </c>
      <c r="L894" s="34">
        <f t="shared" si="1760"/>
        <v>1.2714304811099176E-3</v>
      </c>
      <c r="M894" s="34">
        <f t="shared" si="1760"/>
        <v>1.2284352474491956E-3</v>
      </c>
      <c r="N894" s="34">
        <f t="shared" si="1760"/>
        <v>5.5028719912085192E-3</v>
      </c>
      <c r="O894" s="34">
        <f t="shared" si="1760"/>
        <v>1.1467574482010743E-3</v>
      </c>
      <c r="P894" s="34">
        <f t="shared" si="1760"/>
        <v>1.1079782108222942E-3</v>
      </c>
      <c r="Q894" s="34">
        <f t="shared" si="1760"/>
        <v>4.9632752526953894E-3</v>
      </c>
      <c r="R894" s="34">
        <f t="shared" si="1760"/>
        <v>1.0343095155754341E-3</v>
      </c>
      <c r="S894" s="34">
        <f t="shared" si="1760"/>
        <v>9.9933286529027467E-4</v>
      </c>
      <c r="T894" s="34">
        <f t="shared" si="1760"/>
        <v>4.4765899103912177E-3</v>
      </c>
      <c r="U894" s="34">
        <f t="shared" si="1760"/>
        <v>9.3288792297628858E-4</v>
      </c>
      <c r="V894" s="182">
        <f>SUM(B894:U894)</f>
        <v>6.0596182620311814E-2</v>
      </c>
      <c r="W894" s="35"/>
    </row>
    <row r="895" spans="1:23">
      <c r="A895" s="49"/>
      <c r="B895" s="34"/>
      <c r="C895" s="34"/>
      <c r="D895" s="34"/>
      <c r="E895" s="34"/>
      <c r="F895" s="34"/>
      <c r="G895" s="34"/>
      <c r="H895" s="34"/>
      <c r="I895" s="34"/>
      <c r="J895" s="34"/>
      <c r="K895" s="34"/>
      <c r="L895" s="34"/>
      <c r="M895" s="34"/>
      <c r="N895" s="34"/>
      <c r="O895" s="34"/>
      <c r="P895" s="34"/>
      <c r="Q895" s="34"/>
      <c r="R895" s="34"/>
      <c r="S895" s="34"/>
      <c r="T895" s="34"/>
      <c r="U895" s="34"/>
      <c r="V895" s="182"/>
      <c r="W895" s="35"/>
    </row>
    <row r="896" spans="1:23">
      <c r="A896" s="131" t="s">
        <v>1074</v>
      </c>
      <c r="B896" s="100"/>
      <c r="C896" s="100"/>
      <c r="D896" s="100"/>
      <c r="E896" s="100"/>
      <c r="F896" s="100"/>
      <c r="G896" s="100"/>
      <c r="H896" s="100"/>
      <c r="I896" s="100"/>
      <c r="J896" s="100"/>
      <c r="K896" s="100"/>
      <c r="L896" s="100"/>
      <c r="M896" s="100"/>
      <c r="N896" s="100"/>
      <c r="O896" s="100"/>
      <c r="P896" s="100"/>
      <c r="Q896" s="100"/>
      <c r="R896" s="100"/>
      <c r="S896" s="100"/>
      <c r="T896" s="100"/>
      <c r="U896" s="100"/>
      <c r="V896" s="179"/>
      <c r="W896" s="140"/>
    </row>
    <row r="897" spans="1:23">
      <c r="A897" s="200" t="s">
        <v>679</v>
      </c>
      <c r="B897" s="52">
        <f t="shared" ref="B897:U897" si="1761">B82</f>
        <v>6.7499999999999999E-3</v>
      </c>
      <c r="C897" s="52">
        <f t="shared" si="1761"/>
        <v>0</v>
      </c>
      <c r="D897" s="52">
        <f t="shared" si="1761"/>
        <v>0</v>
      </c>
      <c r="E897" s="52">
        <f t="shared" si="1761"/>
        <v>6.7499999999999999E-3</v>
      </c>
      <c r="F897" s="52">
        <f t="shared" si="1761"/>
        <v>0</v>
      </c>
      <c r="G897" s="52">
        <f t="shared" si="1761"/>
        <v>0</v>
      </c>
      <c r="H897" s="52">
        <f t="shared" si="1761"/>
        <v>6.7499999999999999E-3</v>
      </c>
      <c r="I897" s="52">
        <f t="shared" si="1761"/>
        <v>0</v>
      </c>
      <c r="J897" s="52">
        <f t="shared" si="1761"/>
        <v>0</v>
      </c>
      <c r="K897" s="52">
        <f t="shared" si="1761"/>
        <v>6.7499999999999999E-3</v>
      </c>
      <c r="L897" s="52">
        <f t="shared" si="1761"/>
        <v>0</v>
      </c>
      <c r="M897" s="52">
        <f t="shared" si="1761"/>
        <v>0</v>
      </c>
      <c r="N897" s="52">
        <f t="shared" si="1761"/>
        <v>6.7499999999999999E-3</v>
      </c>
      <c r="O897" s="52">
        <f t="shared" si="1761"/>
        <v>0</v>
      </c>
      <c r="P897" s="52">
        <f t="shared" si="1761"/>
        <v>0</v>
      </c>
      <c r="Q897" s="52">
        <f t="shared" si="1761"/>
        <v>6.7499999999999999E-3</v>
      </c>
      <c r="R897" s="52">
        <f t="shared" si="1761"/>
        <v>0</v>
      </c>
      <c r="S897" s="52">
        <f t="shared" si="1761"/>
        <v>0</v>
      </c>
      <c r="T897" s="52">
        <f t="shared" si="1761"/>
        <v>6.7499999999999999E-3</v>
      </c>
      <c r="U897" s="52">
        <f t="shared" si="1761"/>
        <v>0</v>
      </c>
      <c r="V897" s="180">
        <f>SUM(B897:U897)</f>
        <v>4.725E-2</v>
      </c>
      <c r="W897" s="53">
        <f>V897/20</f>
        <v>2.3625E-3</v>
      </c>
    </row>
    <row r="898" spans="1:23" s="3" customFormat="1">
      <c r="A898" s="200" t="s">
        <v>680</v>
      </c>
      <c r="B898" s="52">
        <f>('Scenario 2 Assumptions'!$B$279*('Scenario 2 Assumptions'!$B$300*0.5)/20)+B108</f>
        <v>2.0249999999999999E-3</v>
      </c>
      <c r="C898" s="52">
        <f>('Scenario 2 Assumptions'!$B$279*('Scenario 2 Assumptions'!$B$300*0.5)/20)+C108</f>
        <v>2.0249999999999999E-3</v>
      </c>
      <c r="D898" s="52">
        <f>('Scenario 2 Assumptions'!$B$279*('Scenario 2 Assumptions'!$B$300*0.5)/20)+D108</f>
        <v>2.0249999999999999E-3</v>
      </c>
      <c r="E898" s="52">
        <f>('Scenario 2 Assumptions'!$B$279*('Scenario 2 Assumptions'!$B$300*0.5)/20)+E108</f>
        <v>2.0249999999999999E-3</v>
      </c>
      <c r="F898" s="52">
        <f>('Scenario 2 Assumptions'!$B$279*('Scenario 2 Assumptions'!$B$300*0.5)/20)+F108</f>
        <v>2.0249999999999999E-3</v>
      </c>
      <c r="G898" s="52">
        <f>('Scenario 2 Assumptions'!$B$279*('Scenario 2 Assumptions'!$B$300*0.5)/20)+G108</f>
        <v>2.0249999999999999E-3</v>
      </c>
      <c r="H898" s="52">
        <f>('Scenario 2 Assumptions'!$B$279*('Scenario 2 Assumptions'!$B$300*0.5)/20)+H108</f>
        <v>2.0249999999999999E-3</v>
      </c>
      <c r="I898" s="52">
        <f>('Scenario 2 Assumptions'!$B$279*('Scenario 2 Assumptions'!$B$300*0.5)/20)+I108</f>
        <v>2.0249999999999999E-3</v>
      </c>
      <c r="J898" s="52">
        <f>('Scenario 2 Assumptions'!$B$279*('Scenario 2 Assumptions'!$B$300*0.5)/20)+J108</f>
        <v>2.0249999999999999E-3</v>
      </c>
      <c r="K898" s="52">
        <f>('Scenario 2 Assumptions'!$B$279*('Scenario 2 Assumptions'!$B$300*0.5)/20)+K108</f>
        <v>2.0249999999999999E-3</v>
      </c>
      <c r="L898" s="52">
        <f>('Scenario 2 Assumptions'!$B$279*('Scenario 2 Assumptions'!$B$300*0.5)/20)+L108</f>
        <v>2.0249999999999999E-3</v>
      </c>
      <c r="M898" s="52">
        <f>('Scenario 2 Assumptions'!$B$279*('Scenario 2 Assumptions'!$B$300*0.5)/20)+M108</f>
        <v>2.0249999999999999E-3</v>
      </c>
      <c r="N898" s="52">
        <f>('Scenario 2 Assumptions'!$B$279*('Scenario 2 Assumptions'!$B$300*0.5)/20)+N108</f>
        <v>2.0249999999999999E-3</v>
      </c>
      <c r="O898" s="52">
        <f>('Scenario 2 Assumptions'!$B$279*('Scenario 2 Assumptions'!$B$300*0.5)/20)+O108</f>
        <v>2.0249999999999999E-3</v>
      </c>
      <c r="P898" s="52">
        <f>('Scenario 2 Assumptions'!$B$279*('Scenario 2 Assumptions'!$B$300*0.5)/20)+P108</f>
        <v>2.0249999999999999E-3</v>
      </c>
      <c r="Q898" s="52">
        <f>('Scenario 2 Assumptions'!$B$279*('Scenario 2 Assumptions'!$B$300*0.5)/20)+Q108</f>
        <v>2.0249999999999999E-3</v>
      </c>
      <c r="R898" s="52">
        <f>('Scenario 2 Assumptions'!$B$279*('Scenario 2 Assumptions'!$B$300*0.5)/20)+R108</f>
        <v>2.0249999999999999E-3</v>
      </c>
      <c r="S898" s="52">
        <f>('Scenario 2 Assumptions'!$B$279*('Scenario 2 Assumptions'!$B$300*0.5)/20)+S108</f>
        <v>2.0249999999999999E-3</v>
      </c>
      <c r="T898" s="52">
        <f>('Scenario 2 Assumptions'!$B$279*('Scenario 2 Assumptions'!$B$300*0.5)/20)+T108</f>
        <v>2.0249999999999999E-3</v>
      </c>
      <c r="U898" s="52">
        <f>('Scenario 2 Assumptions'!$B$279*('Scenario 2 Assumptions'!$B$300*0.5)/20)+U108</f>
        <v>2.0249999999999999E-3</v>
      </c>
      <c r="V898" s="180">
        <f t="shared" ref="V898:V899" si="1762">SUM(B898:U898)</f>
        <v>4.0499999999999987E-2</v>
      </c>
      <c r="W898" s="53">
        <f t="shared" ref="W898:W899" si="1763">V898/20</f>
        <v>2.0249999999999995E-3</v>
      </c>
    </row>
    <row r="899" spans="1:23" ht="13.5" customHeight="1">
      <c r="A899" s="49" t="s">
        <v>664</v>
      </c>
      <c r="B899" s="34">
        <f>SUM(B897:B898)</f>
        <v>8.7749999999999998E-3</v>
      </c>
      <c r="C899" s="34">
        <f t="shared" ref="C899" si="1764">SUM(C897:C898)</f>
        <v>2.0249999999999999E-3</v>
      </c>
      <c r="D899" s="34">
        <f t="shared" ref="D899" si="1765">SUM(D897:D898)</f>
        <v>2.0249999999999999E-3</v>
      </c>
      <c r="E899" s="34">
        <f t="shared" ref="E899" si="1766">SUM(E897:E898)</f>
        <v>8.7749999999999998E-3</v>
      </c>
      <c r="F899" s="34">
        <f t="shared" ref="F899" si="1767">SUM(F897:F898)</f>
        <v>2.0249999999999999E-3</v>
      </c>
      <c r="G899" s="34">
        <f t="shared" ref="G899" si="1768">SUM(G897:G898)</f>
        <v>2.0249999999999999E-3</v>
      </c>
      <c r="H899" s="34">
        <f t="shared" ref="H899" si="1769">SUM(H897:H898)</f>
        <v>8.7749999999999998E-3</v>
      </c>
      <c r="I899" s="34">
        <f t="shared" ref="I899" si="1770">SUM(I897:I898)</f>
        <v>2.0249999999999999E-3</v>
      </c>
      <c r="J899" s="34">
        <f t="shared" ref="J899" si="1771">SUM(J897:J898)</f>
        <v>2.0249999999999999E-3</v>
      </c>
      <c r="K899" s="34">
        <f t="shared" ref="K899" si="1772">SUM(K897:K898)</f>
        <v>8.7749999999999998E-3</v>
      </c>
      <c r="L899" s="34">
        <f t="shared" ref="L899" si="1773">SUM(L897:L898)</f>
        <v>2.0249999999999999E-3</v>
      </c>
      <c r="M899" s="34">
        <f t="shared" ref="M899" si="1774">SUM(M897:M898)</f>
        <v>2.0249999999999999E-3</v>
      </c>
      <c r="N899" s="34">
        <f t="shared" ref="N899" si="1775">SUM(N897:N898)</f>
        <v>8.7749999999999998E-3</v>
      </c>
      <c r="O899" s="34">
        <f t="shared" ref="O899" si="1776">SUM(O897:O898)</f>
        <v>2.0249999999999999E-3</v>
      </c>
      <c r="P899" s="34">
        <f t="shared" ref="P899" si="1777">SUM(P897:P898)</f>
        <v>2.0249999999999999E-3</v>
      </c>
      <c r="Q899" s="34">
        <f t="shared" ref="Q899" si="1778">SUM(Q897:Q898)</f>
        <v>8.7749999999999998E-3</v>
      </c>
      <c r="R899" s="34">
        <f t="shared" ref="R899" si="1779">SUM(R897:R898)</f>
        <v>2.0249999999999999E-3</v>
      </c>
      <c r="S899" s="34">
        <f t="shared" ref="S899" si="1780">SUM(S897:S898)</f>
        <v>2.0249999999999999E-3</v>
      </c>
      <c r="T899" s="34">
        <f t="shared" ref="T899" si="1781">SUM(T897:T898)</f>
        <v>8.7749999999999998E-3</v>
      </c>
      <c r="U899" s="34">
        <f t="shared" ref="U899" si="1782">SUM(U897:U898)</f>
        <v>2.0249999999999999E-3</v>
      </c>
      <c r="V899" s="180">
        <f t="shared" si="1762"/>
        <v>8.7749999999999995E-2</v>
      </c>
      <c r="W899" s="53">
        <f t="shared" si="1763"/>
        <v>4.3874999999999999E-3</v>
      </c>
    </row>
    <row r="900" spans="1:23" s="81" customFormat="1">
      <c r="A900" s="134" t="s">
        <v>123</v>
      </c>
      <c r="B900" s="52">
        <v>0.96618357487922713</v>
      </c>
      <c r="C900" s="52">
        <v>0.93351070036640305</v>
      </c>
      <c r="D900" s="52">
        <v>0.90194270566802237</v>
      </c>
      <c r="E900" s="52">
        <v>0.87144222769857238</v>
      </c>
      <c r="F900" s="52">
        <v>0.84197316685852419</v>
      </c>
      <c r="G900" s="52">
        <v>0.81350064430775282</v>
      </c>
      <c r="H900" s="52">
        <v>0.78599096068381913</v>
      </c>
      <c r="I900" s="52">
        <v>0.75941155621625056</v>
      </c>
      <c r="J900" s="52">
        <v>0.73373097218961414</v>
      </c>
      <c r="K900" s="52">
        <v>0.70891881370977217</v>
      </c>
      <c r="L900" s="52">
        <v>0.68494571372924851</v>
      </c>
      <c r="M900" s="52">
        <v>0.66178329828912896</v>
      </c>
      <c r="N900" s="52">
        <v>0.63940415293635666</v>
      </c>
      <c r="O900" s="52">
        <v>0.61778179027667302</v>
      </c>
      <c r="P900" s="52">
        <v>0.59689061862480497</v>
      </c>
      <c r="Q900" s="52">
        <v>0.57670591171478747</v>
      </c>
      <c r="R900" s="52">
        <v>0.55720377943457733</v>
      </c>
      <c r="S900" s="52">
        <v>0.53836113955031628</v>
      </c>
      <c r="T900" s="52">
        <v>0.52015569038677911</v>
      </c>
      <c r="U900" s="52">
        <v>0.50256588443167061</v>
      </c>
      <c r="V900" s="180"/>
      <c r="W900" s="133"/>
    </row>
    <row r="901" spans="1:23" s="81" customFormat="1">
      <c r="A901" s="50" t="s">
        <v>1069</v>
      </c>
      <c r="B901" s="34">
        <f t="shared" ref="B901:U901" si="1783">B900*B899</f>
        <v>8.4782608695652181E-3</v>
      </c>
      <c r="C901" s="34">
        <f t="shared" si="1783"/>
        <v>1.890359168241966E-3</v>
      </c>
      <c r="D901" s="34">
        <f t="shared" si="1783"/>
        <v>1.8264339789777451E-3</v>
      </c>
      <c r="E901" s="34">
        <f t="shared" si="1783"/>
        <v>7.6469055480549728E-3</v>
      </c>
      <c r="F901" s="34">
        <f t="shared" si="1783"/>
        <v>1.7049956628885114E-3</v>
      </c>
      <c r="G901" s="34">
        <f t="shared" si="1783"/>
        <v>1.6473388047231995E-3</v>
      </c>
      <c r="H901" s="34">
        <f t="shared" si="1783"/>
        <v>6.8970706800005124E-3</v>
      </c>
      <c r="I901" s="34">
        <f t="shared" si="1783"/>
        <v>1.5378084013379072E-3</v>
      </c>
      <c r="J901" s="34">
        <f t="shared" si="1783"/>
        <v>1.4858052186839685E-3</v>
      </c>
      <c r="K901" s="34">
        <f t="shared" si="1783"/>
        <v>6.2207625903032502E-3</v>
      </c>
      <c r="L901" s="34">
        <f t="shared" si="1783"/>
        <v>1.3870150703017281E-3</v>
      </c>
      <c r="M901" s="34">
        <f t="shared" si="1783"/>
        <v>1.340111179035486E-3</v>
      </c>
      <c r="N901" s="34">
        <f t="shared" si="1783"/>
        <v>5.6107714420165298E-3</v>
      </c>
      <c r="O901" s="34">
        <f t="shared" si="1783"/>
        <v>1.2510081253102629E-3</v>
      </c>
      <c r="P901" s="34">
        <f t="shared" si="1783"/>
        <v>1.2087035027152299E-3</v>
      </c>
      <c r="Q901" s="34">
        <f t="shared" si="1783"/>
        <v>5.0605943752972601E-3</v>
      </c>
      <c r="R901" s="34">
        <f t="shared" si="1783"/>
        <v>1.128337653355019E-3</v>
      </c>
      <c r="S901" s="34">
        <f t="shared" si="1783"/>
        <v>1.0901813075893903E-3</v>
      </c>
      <c r="T901" s="34">
        <f t="shared" si="1783"/>
        <v>4.5643661831439863E-3</v>
      </c>
      <c r="U901" s="34">
        <f t="shared" si="1783"/>
        <v>1.017695915974133E-3</v>
      </c>
      <c r="V901" s="182">
        <f>SUM(B901:U901)</f>
        <v>6.2994525677516261E-2</v>
      </c>
      <c r="W901" s="35"/>
    </row>
    <row r="902" spans="1:23">
      <c r="A902" s="49"/>
      <c r="B902" s="34"/>
      <c r="C902" s="34"/>
      <c r="D902" s="34"/>
      <c r="E902" s="34"/>
      <c r="F902" s="34"/>
      <c r="G902" s="34"/>
      <c r="H902" s="34"/>
      <c r="I902" s="34"/>
      <c r="J902" s="34"/>
      <c r="K902" s="34"/>
      <c r="L902" s="34"/>
      <c r="M902" s="34"/>
      <c r="N902" s="34"/>
      <c r="O902" s="34"/>
      <c r="P902" s="34"/>
      <c r="Q902" s="34"/>
      <c r="R902" s="34"/>
      <c r="S902" s="34"/>
      <c r="T902" s="34"/>
      <c r="U902" s="34"/>
      <c r="V902" s="182"/>
      <c r="W902" s="35"/>
    </row>
    <row r="903" spans="1:23">
      <c r="A903" s="131" t="s">
        <v>1116</v>
      </c>
      <c r="B903" s="100"/>
      <c r="C903" s="100"/>
      <c r="D903" s="100"/>
      <c r="E903" s="100"/>
      <c r="F903" s="100"/>
      <c r="G903" s="100"/>
      <c r="H903" s="100"/>
      <c r="I903" s="100"/>
      <c r="J903" s="100"/>
      <c r="K903" s="100"/>
      <c r="L903" s="100"/>
      <c r="M903" s="100"/>
      <c r="N903" s="100"/>
      <c r="O903" s="100"/>
      <c r="P903" s="100"/>
      <c r="Q903" s="100"/>
      <c r="R903" s="100"/>
      <c r="S903" s="100"/>
      <c r="T903" s="100"/>
      <c r="U903" s="100"/>
      <c r="V903" s="179"/>
      <c r="W903" s="140"/>
    </row>
    <row r="904" spans="1:23">
      <c r="A904" s="200" t="s">
        <v>679</v>
      </c>
      <c r="B904" s="52">
        <v>0</v>
      </c>
      <c r="C904" s="52">
        <v>0</v>
      </c>
      <c r="D904" s="52">
        <v>0</v>
      </c>
      <c r="E904" s="52">
        <v>0</v>
      </c>
      <c r="F904" s="52">
        <v>0</v>
      </c>
      <c r="G904" s="52">
        <v>0</v>
      </c>
      <c r="H904" s="52">
        <v>0</v>
      </c>
      <c r="I904" s="52">
        <v>0</v>
      </c>
      <c r="J904" s="52">
        <v>0</v>
      </c>
      <c r="K904" s="52">
        <v>0</v>
      </c>
      <c r="L904" s="52">
        <v>0</v>
      </c>
      <c r="M904" s="52">
        <v>0</v>
      </c>
      <c r="N904" s="52">
        <v>0</v>
      </c>
      <c r="O904" s="52">
        <v>0</v>
      </c>
      <c r="P904" s="52">
        <v>0</v>
      </c>
      <c r="Q904" s="52">
        <v>0</v>
      </c>
      <c r="R904" s="52">
        <v>0</v>
      </c>
      <c r="S904" s="52">
        <v>0</v>
      </c>
      <c r="T904" s="52">
        <v>0</v>
      </c>
      <c r="U904" s="52">
        <v>0</v>
      </c>
      <c r="V904" s="180">
        <f>SUM(B904:U904)</f>
        <v>0</v>
      </c>
      <c r="W904" s="53">
        <f>V904/20</f>
        <v>0</v>
      </c>
    </row>
    <row r="905" spans="1:23" s="3" customFormat="1">
      <c r="A905" s="200" t="s">
        <v>680</v>
      </c>
      <c r="B905" s="52">
        <f>('Scenario 2 Assumptions'!$B$279*('Scenario 2 Assumptions'!$B$301*0.5)/20)</f>
        <v>1.6875000000000001E-4</v>
      </c>
      <c r="C905" s="52">
        <f>('Scenario 2 Assumptions'!$B$279*('Scenario 2 Assumptions'!$B$301*0.5)/20)</f>
        <v>1.6875000000000001E-4</v>
      </c>
      <c r="D905" s="52">
        <f>('Scenario 2 Assumptions'!$B$279*('Scenario 2 Assumptions'!$B$301*0.5)/20)</f>
        <v>1.6875000000000001E-4</v>
      </c>
      <c r="E905" s="52">
        <f>('Scenario 2 Assumptions'!$B$279*('Scenario 2 Assumptions'!$B$301*0.5)/20)</f>
        <v>1.6875000000000001E-4</v>
      </c>
      <c r="F905" s="52">
        <f>('Scenario 2 Assumptions'!$B$279*('Scenario 2 Assumptions'!$B$301*0.5)/20)</f>
        <v>1.6875000000000001E-4</v>
      </c>
      <c r="G905" s="52">
        <f>('Scenario 2 Assumptions'!$B$279*('Scenario 2 Assumptions'!$B$301*0.5)/20)</f>
        <v>1.6875000000000001E-4</v>
      </c>
      <c r="H905" s="52">
        <f>('Scenario 2 Assumptions'!$B$279*('Scenario 2 Assumptions'!$B$301*0.5)/20)</f>
        <v>1.6875000000000001E-4</v>
      </c>
      <c r="I905" s="52">
        <f>('Scenario 2 Assumptions'!$B$279*('Scenario 2 Assumptions'!$B$301*0.5)/20)</f>
        <v>1.6875000000000001E-4</v>
      </c>
      <c r="J905" s="52">
        <f>('Scenario 2 Assumptions'!$B$279*('Scenario 2 Assumptions'!$B$301*0.5)/20)</f>
        <v>1.6875000000000001E-4</v>
      </c>
      <c r="K905" s="52">
        <f>('Scenario 2 Assumptions'!$B$279*('Scenario 2 Assumptions'!$B$301*0.5)/20)</f>
        <v>1.6875000000000001E-4</v>
      </c>
      <c r="L905" s="52">
        <f>('Scenario 2 Assumptions'!$B$279*('Scenario 2 Assumptions'!$B$301*0.5)/20)</f>
        <v>1.6875000000000001E-4</v>
      </c>
      <c r="M905" s="52">
        <f>('Scenario 2 Assumptions'!$B$279*('Scenario 2 Assumptions'!$B$301*0.5)/20)</f>
        <v>1.6875000000000001E-4</v>
      </c>
      <c r="N905" s="52">
        <f>('Scenario 2 Assumptions'!$B$279*('Scenario 2 Assumptions'!$B$301*0.5)/20)</f>
        <v>1.6875000000000001E-4</v>
      </c>
      <c r="O905" s="52">
        <f>('Scenario 2 Assumptions'!$B$279*('Scenario 2 Assumptions'!$B$301*0.5)/20)</f>
        <v>1.6875000000000001E-4</v>
      </c>
      <c r="P905" s="52">
        <f>('Scenario 2 Assumptions'!$B$279*('Scenario 2 Assumptions'!$B$301*0.5)/20)</f>
        <v>1.6875000000000001E-4</v>
      </c>
      <c r="Q905" s="52">
        <f>('Scenario 2 Assumptions'!$B$279*('Scenario 2 Assumptions'!$B$301*0.5)/20)</f>
        <v>1.6875000000000001E-4</v>
      </c>
      <c r="R905" s="52">
        <f>('Scenario 2 Assumptions'!$B$279*('Scenario 2 Assumptions'!$B$301*0.5)/20)</f>
        <v>1.6875000000000001E-4</v>
      </c>
      <c r="S905" s="52">
        <f>('Scenario 2 Assumptions'!$B$279*('Scenario 2 Assumptions'!$B$301*0.5)/20)</f>
        <v>1.6875000000000001E-4</v>
      </c>
      <c r="T905" s="52">
        <f>('Scenario 2 Assumptions'!$B$279*('Scenario 2 Assumptions'!$B$301*0.5)/20)</f>
        <v>1.6875000000000001E-4</v>
      </c>
      <c r="U905" s="52">
        <f>('Scenario 2 Assumptions'!$B$279*('Scenario 2 Assumptions'!$B$301*0.5)/20)</f>
        <v>1.6875000000000001E-4</v>
      </c>
      <c r="V905" s="180">
        <f t="shared" ref="V905:V906" si="1784">SUM(B905:U905)</f>
        <v>3.3750000000000008E-3</v>
      </c>
      <c r="W905" s="53">
        <f t="shared" ref="W905:W906" si="1785">V905/20</f>
        <v>1.6875000000000004E-4</v>
      </c>
    </row>
    <row r="906" spans="1:23" ht="13.5" customHeight="1">
      <c r="A906" s="49" t="s">
        <v>664</v>
      </c>
      <c r="B906" s="34">
        <f>SUM(B904:B905)</f>
        <v>1.6875000000000001E-4</v>
      </c>
      <c r="C906" s="34">
        <f t="shared" ref="C906" si="1786">SUM(C904:C905)</f>
        <v>1.6875000000000001E-4</v>
      </c>
      <c r="D906" s="34">
        <f t="shared" ref="D906" si="1787">SUM(D904:D905)</f>
        <v>1.6875000000000001E-4</v>
      </c>
      <c r="E906" s="34">
        <f t="shared" ref="E906" si="1788">SUM(E904:E905)</f>
        <v>1.6875000000000001E-4</v>
      </c>
      <c r="F906" s="34">
        <f t="shared" ref="F906" si="1789">SUM(F904:F905)</f>
        <v>1.6875000000000001E-4</v>
      </c>
      <c r="G906" s="34">
        <f t="shared" ref="G906" si="1790">SUM(G904:G905)</f>
        <v>1.6875000000000001E-4</v>
      </c>
      <c r="H906" s="34">
        <f t="shared" ref="H906" si="1791">SUM(H904:H905)</f>
        <v>1.6875000000000001E-4</v>
      </c>
      <c r="I906" s="34">
        <f t="shared" ref="I906" si="1792">SUM(I904:I905)</f>
        <v>1.6875000000000001E-4</v>
      </c>
      <c r="J906" s="34">
        <f t="shared" ref="J906" si="1793">SUM(J904:J905)</f>
        <v>1.6875000000000001E-4</v>
      </c>
      <c r="K906" s="34">
        <f t="shared" ref="K906" si="1794">SUM(K904:K905)</f>
        <v>1.6875000000000001E-4</v>
      </c>
      <c r="L906" s="34">
        <f t="shared" ref="L906" si="1795">SUM(L904:L905)</f>
        <v>1.6875000000000001E-4</v>
      </c>
      <c r="M906" s="34">
        <f t="shared" ref="M906" si="1796">SUM(M904:M905)</f>
        <v>1.6875000000000001E-4</v>
      </c>
      <c r="N906" s="34">
        <f t="shared" ref="N906" si="1797">SUM(N904:N905)</f>
        <v>1.6875000000000001E-4</v>
      </c>
      <c r="O906" s="34">
        <f t="shared" ref="O906" si="1798">SUM(O904:O905)</f>
        <v>1.6875000000000001E-4</v>
      </c>
      <c r="P906" s="34">
        <f t="shared" ref="P906" si="1799">SUM(P904:P905)</f>
        <v>1.6875000000000001E-4</v>
      </c>
      <c r="Q906" s="34">
        <f t="shared" ref="Q906" si="1800">SUM(Q904:Q905)</f>
        <v>1.6875000000000001E-4</v>
      </c>
      <c r="R906" s="34">
        <f t="shared" ref="R906" si="1801">SUM(R904:R905)</f>
        <v>1.6875000000000001E-4</v>
      </c>
      <c r="S906" s="34">
        <f t="shared" ref="S906" si="1802">SUM(S904:S905)</f>
        <v>1.6875000000000001E-4</v>
      </c>
      <c r="T906" s="34">
        <f t="shared" ref="T906" si="1803">SUM(T904:T905)</f>
        <v>1.6875000000000001E-4</v>
      </c>
      <c r="U906" s="34">
        <f t="shared" ref="U906" si="1804">SUM(U904:U905)</f>
        <v>1.6875000000000001E-4</v>
      </c>
      <c r="V906" s="180">
        <f t="shared" si="1784"/>
        <v>3.3750000000000008E-3</v>
      </c>
      <c r="W906" s="53">
        <f t="shared" si="1785"/>
        <v>1.6875000000000004E-4</v>
      </c>
    </row>
    <row r="907" spans="1:23" s="81" customFormat="1">
      <c r="A907" s="134" t="s">
        <v>123</v>
      </c>
      <c r="B907" s="52">
        <v>0.96618357487922713</v>
      </c>
      <c r="C907" s="52">
        <v>0.93351070036640305</v>
      </c>
      <c r="D907" s="52">
        <v>0.90194270566802237</v>
      </c>
      <c r="E907" s="52">
        <v>0.87144222769857238</v>
      </c>
      <c r="F907" s="52">
        <v>0.84197316685852419</v>
      </c>
      <c r="G907" s="52">
        <v>0.81350064430775282</v>
      </c>
      <c r="H907" s="52">
        <v>0.78599096068381913</v>
      </c>
      <c r="I907" s="52">
        <v>0.75941155621625056</v>
      </c>
      <c r="J907" s="52">
        <v>0.73373097218961414</v>
      </c>
      <c r="K907" s="52">
        <v>0.70891881370977217</v>
      </c>
      <c r="L907" s="52">
        <v>0.68494571372924851</v>
      </c>
      <c r="M907" s="52">
        <v>0.66178329828912896</v>
      </c>
      <c r="N907" s="52">
        <v>0.63940415293635666</v>
      </c>
      <c r="O907" s="52">
        <v>0.61778179027667302</v>
      </c>
      <c r="P907" s="52">
        <v>0.59689061862480497</v>
      </c>
      <c r="Q907" s="52">
        <v>0.57670591171478747</v>
      </c>
      <c r="R907" s="52">
        <v>0.55720377943457733</v>
      </c>
      <c r="S907" s="52">
        <v>0.53836113955031628</v>
      </c>
      <c r="T907" s="52">
        <v>0.52015569038677911</v>
      </c>
      <c r="U907" s="52">
        <v>0.50256588443167061</v>
      </c>
      <c r="V907" s="180"/>
      <c r="W907" s="133"/>
    </row>
    <row r="908" spans="1:23" s="81" customFormat="1">
      <c r="A908" s="50" t="s">
        <v>1069</v>
      </c>
      <c r="B908" s="34">
        <f t="shared" ref="B908:U908" si="1805">B907*B906</f>
        <v>1.6304347826086958E-4</v>
      </c>
      <c r="C908" s="34">
        <f t="shared" si="1805"/>
        <v>1.5752993068683053E-4</v>
      </c>
      <c r="D908" s="34">
        <f t="shared" si="1805"/>
        <v>1.5220283158147877E-4</v>
      </c>
      <c r="E908" s="34">
        <f t="shared" si="1805"/>
        <v>1.4705587592413411E-4</v>
      </c>
      <c r="F908" s="34">
        <f t="shared" si="1805"/>
        <v>1.4208297190737598E-4</v>
      </c>
      <c r="G908" s="34">
        <f t="shared" si="1805"/>
        <v>1.372782337269333E-4</v>
      </c>
      <c r="H908" s="34">
        <f t="shared" si="1805"/>
        <v>1.3263597461539447E-4</v>
      </c>
      <c r="I908" s="34">
        <f t="shared" si="1805"/>
        <v>1.281507001114923E-4</v>
      </c>
      <c r="J908" s="34">
        <f t="shared" si="1805"/>
        <v>1.238171015569974E-4</v>
      </c>
      <c r="K908" s="34">
        <f t="shared" si="1805"/>
        <v>1.1963004981352407E-4</v>
      </c>
      <c r="L908" s="34">
        <f t="shared" si="1805"/>
        <v>1.1558458919181069E-4</v>
      </c>
      <c r="M908" s="34">
        <f t="shared" si="1805"/>
        <v>1.1167593158629052E-4</v>
      </c>
      <c r="N908" s="34">
        <f t="shared" si="1805"/>
        <v>1.0789945080801019E-4</v>
      </c>
      <c r="O908" s="34">
        <f t="shared" si="1805"/>
        <v>1.0425067710918858E-4</v>
      </c>
      <c r="P908" s="34">
        <f t="shared" si="1805"/>
        <v>1.0072529189293584E-4</v>
      </c>
      <c r="Q908" s="34">
        <f t="shared" si="1805"/>
        <v>9.7319122601870396E-5</v>
      </c>
      <c r="R908" s="34">
        <f t="shared" si="1805"/>
        <v>9.402813777958493E-5</v>
      </c>
      <c r="S908" s="34">
        <f t="shared" si="1805"/>
        <v>9.0848442299115879E-5</v>
      </c>
      <c r="T908" s="34">
        <f t="shared" si="1805"/>
        <v>8.7776272752768973E-5</v>
      </c>
      <c r="U908" s="34">
        <f t="shared" si="1805"/>
        <v>8.4807992997844422E-5</v>
      </c>
      <c r="V908" s="182">
        <f>SUM(B908:U908)</f>
        <v>2.3983430572044511E-3</v>
      </c>
      <c r="W908" s="35"/>
    </row>
    <row r="909" spans="1:23">
      <c r="A909" s="49"/>
      <c r="B909" s="34"/>
      <c r="C909" s="34"/>
      <c r="D909" s="34"/>
      <c r="E909" s="34"/>
      <c r="F909" s="34"/>
      <c r="G909" s="34"/>
      <c r="H909" s="34"/>
      <c r="I909" s="34"/>
      <c r="J909" s="34"/>
      <c r="K909" s="34"/>
      <c r="L909" s="34"/>
      <c r="M909" s="34"/>
      <c r="N909" s="34"/>
      <c r="O909" s="34"/>
      <c r="P909" s="34"/>
      <c r="Q909" s="34"/>
      <c r="R909" s="34"/>
      <c r="S909" s="34"/>
      <c r="T909" s="34"/>
      <c r="U909" s="34"/>
      <c r="V909" s="182"/>
      <c r="W909" s="35"/>
    </row>
    <row r="910" spans="1:23">
      <c r="A910" s="131" t="s">
        <v>1117</v>
      </c>
      <c r="B910" s="100"/>
      <c r="C910" s="100"/>
      <c r="D910" s="100"/>
      <c r="E910" s="100"/>
      <c r="F910" s="100"/>
      <c r="G910" s="100"/>
      <c r="H910" s="100"/>
      <c r="I910" s="100"/>
      <c r="J910" s="100"/>
      <c r="K910" s="100"/>
      <c r="L910" s="100"/>
      <c r="M910" s="100"/>
      <c r="N910" s="100"/>
      <c r="O910" s="100"/>
      <c r="P910" s="100"/>
      <c r="Q910" s="100"/>
      <c r="R910" s="100"/>
      <c r="S910" s="100"/>
      <c r="T910" s="100"/>
      <c r="U910" s="100"/>
      <c r="V910" s="179"/>
      <c r="W910" s="140"/>
    </row>
    <row r="911" spans="1:23">
      <c r="A911" s="200" t="s">
        <v>679</v>
      </c>
      <c r="B911" s="52">
        <v>0</v>
      </c>
      <c r="C911" s="52">
        <v>0</v>
      </c>
      <c r="D911" s="52">
        <v>0</v>
      </c>
      <c r="E911" s="52">
        <v>0</v>
      </c>
      <c r="F911" s="52">
        <v>0</v>
      </c>
      <c r="G911" s="52">
        <v>0</v>
      </c>
      <c r="H911" s="52">
        <v>0</v>
      </c>
      <c r="I911" s="52">
        <v>0</v>
      </c>
      <c r="J911" s="52">
        <v>0</v>
      </c>
      <c r="K911" s="52">
        <v>0</v>
      </c>
      <c r="L911" s="52">
        <v>0</v>
      </c>
      <c r="M911" s="52">
        <v>0</v>
      </c>
      <c r="N911" s="52">
        <v>0</v>
      </c>
      <c r="O911" s="52">
        <v>0</v>
      </c>
      <c r="P911" s="52">
        <v>0</v>
      </c>
      <c r="Q911" s="52">
        <v>0</v>
      </c>
      <c r="R911" s="52">
        <v>0</v>
      </c>
      <c r="S911" s="52">
        <v>0</v>
      </c>
      <c r="T911" s="52">
        <v>0</v>
      </c>
      <c r="U911" s="52">
        <v>0</v>
      </c>
      <c r="V911" s="180">
        <f>SUM(B911:U911)</f>
        <v>0</v>
      </c>
      <c r="W911" s="53">
        <f>V911/20</f>
        <v>0</v>
      </c>
    </row>
    <row r="912" spans="1:23" s="3" customFormat="1">
      <c r="A912" s="200" t="s">
        <v>680</v>
      </c>
      <c r="B912" s="52">
        <f>('Scenario 2 Assumptions'!$B$279*('Scenario 2 Assumptions'!$B$302*0.5)/20)</f>
        <v>3.3750000000000002E-4</v>
      </c>
      <c r="C912" s="52">
        <f>('Scenario 2 Assumptions'!$B$279*('Scenario 2 Assumptions'!$B$302*0.5)/20)</f>
        <v>3.3750000000000002E-4</v>
      </c>
      <c r="D912" s="52">
        <f>('Scenario 2 Assumptions'!$B$279*('Scenario 2 Assumptions'!$B$302*0.5)/20)</f>
        <v>3.3750000000000002E-4</v>
      </c>
      <c r="E912" s="52">
        <f>('Scenario 2 Assumptions'!$B$279*('Scenario 2 Assumptions'!$B$302*0.5)/20)</f>
        <v>3.3750000000000002E-4</v>
      </c>
      <c r="F912" s="52">
        <f>('Scenario 2 Assumptions'!$B$279*('Scenario 2 Assumptions'!$B$302*0.5)/20)</f>
        <v>3.3750000000000002E-4</v>
      </c>
      <c r="G912" s="52">
        <f>('Scenario 2 Assumptions'!$B$279*('Scenario 2 Assumptions'!$B$302*0.5)/20)</f>
        <v>3.3750000000000002E-4</v>
      </c>
      <c r="H912" s="52">
        <f>('Scenario 2 Assumptions'!$B$279*('Scenario 2 Assumptions'!$B$302*0.5)/20)</f>
        <v>3.3750000000000002E-4</v>
      </c>
      <c r="I912" s="52">
        <f>('Scenario 2 Assumptions'!$B$279*('Scenario 2 Assumptions'!$B$302*0.5)/20)</f>
        <v>3.3750000000000002E-4</v>
      </c>
      <c r="J912" s="52">
        <f>('Scenario 2 Assumptions'!$B$279*('Scenario 2 Assumptions'!$B$302*0.5)/20)</f>
        <v>3.3750000000000002E-4</v>
      </c>
      <c r="K912" s="52">
        <f>('Scenario 2 Assumptions'!$B$279*('Scenario 2 Assumptions'!$B$302*0.5)/20)</f>
        <v>3.3750000000000002E-4</v>
      </c>
      <c r="L912" s="52">
        <f>('Scenario 2 Assumptions'!$B$279*('Scenario 2 Assumptions'!$B$302*0.5)/20)</f>
        <v>3.3750000000000002E-4</v>
      </c>
      <c r="M912" s="52">
        <f>('Scenario 2 Assumptions'!$B$279*('Scenario 2 Assumptions'!$B$302*0.5)/20)</f>
        <v>3.3750000000000002E-4</v>
      </c>
      <c r="N912" s="52">
        <f>('Scenario 2 Assumptions'!$B$279*('Scenario 2 Assumptions'!$B$302*0.5)/20)</f>
        <v>3.3750000000000002E-4</v>
      </c>
      <c r="O912" s="52">
        <f>('Scenario 2 Assumptions'!$B$279*('Scenario 2 Assumptions'!$B$302*0.5)/20)</f>
        <v>3.3750000000000002E-4</v>
      </c>
      <c r="P912" s="52">
        <f>('Scenario 2 Assumptions'!$B$279*('Scenario 2 Assumptions'!$B$302*0.5)/20)</f>
        <v>3.3750000000000002E-4</v>
      </c>
      <c r="Q912" s="52">
        <f>('Scenario 2 Assumptions'!$B$279*('Scenario 2 Assumptions'!$B$302*0.5)/20)</f>
        <v>3.3750000000000002E-4</v>
      </c>
      <c r="R912" s="52">
        <f>('Scenario 2 Assumptions'!$B$279*('Scenario 2 Assumptions'!$B$302*0.5)/20)</f>
        <v>3.3750000000000002E-4</v>
      </c>
      <c r="S912" s="52">
        <f>('Scenario 2 Assumptions'!$B$279*('Scenario 2 Assumptions'!$B$302*0.5)/20)</f>
        <v>3.3750000000000002E-4</v>
      </c>
      <c r="T912" s="52">
        <f>('Scenario 2 Assumptions'!$B$279*('Scenario 2 Assumptions'!$B$302*0.5)/20)</f>
        <v>3.3750000000000002E-4</v>
      </c>
      <c r="U912" s="52">
        <f>('Scenario 2 Assumptions'!$B$279*('Scenario 2 Assumptions'!$B$302*0.5)/20)</f>
        <v>3.3750000000000002E-4</v>
      </c>
      <c r="V912" s="180">
        <f t="shared" ref="V912:V913" si="1806">SUM(B912:U912)</f>
        <v>6.7500000000000017E-3</v>
      </c>
      <c r="W912" s="53">
        <f t="shared" ref="W912:W913" si="1807">V912/20</f>
        <v>3.3750000000000007E-4</v>
      </c>
    </row>
    <row r="913" spans="1:25" ht="13.5" customHeight="1">
      <c r="A913" s="49" t="s">
        <v>664</v>
      </c>
      <c r="B913" s="34">
        <f>SUM(B911:B912)</f>
        <v>3.3750000000000002E-4</v>
      </c>
      <c r="C913" s="34">
        <f t="shared" ref="C913" si="1808">SUM(C911:C912)</f>
        <v>3.3750000000000002E-4</v>
      </c>
      <c r="D913" s="34">
        <f t="shared" ref="D913" si="1809">SUM(D911:D912)</f>
        <v>3.3750000000000002E-4</v>
      </c>
      <c r="E913" s="34">
        <f t="shared" ref="E913" si="1810">SUM(E911:E912)</f>
        <v>3.3750000000000002E-4</v>
      </c>
      <c r="F913" s="34">
        <f t="shared" ref="F913" si="1811">SUM(F911:F912)</f>
        <v>3.3750000000000002E-4</v>
      </c>
      <c r="G913" s="34">
        <f t="shared" ref="G913" si="1812">SUM(G911:G912)</f>
        <v>3.3750000000000002E-4</v>
      </c>
      <c r="H913" s="34">
        <f t="shared" ref="H913" si="1813">SUM(H911:H912)</f>
        <v>3.3750000000000002E-4</v>
      </c>
      <c r="I913" s="34">
        <f t="shared" ref="I913" si="1814">SUM(I911:I912)</f>
        <v>3.3750000000000002E-4</v>
      </c>
      <c r="J913" s="34">
        <f t="shared" ref="J913" si="1815">SUM(J911:J912)</f>
        <v>3.3750000000000002E-4</v>
      </c>
      <c r="K913" s="34">
        <f t="shared" ref="K913" si="1816">SUM(K911:K912)</f>
        <v>3.3750000000000002E-4</v>
      </c>
      <c r="L913" s="34">
        <f t="shared" ref="L913" si="1817">SUM(L911:L912)</f>
        <v>3.3750000000000002E-4</v>
      </c>
      <c r="M913" s="34">
        <f t="shared" ref="M913" si="1818">SUM(M911:M912)</f>
        <v>3.3750000000000002E-4</v>
      </c>
      <c r="N913" s="34">
        <f t="shared" ref="N913" si="1819">SUM(N911:N912)</f>
        <v>3.3750000000000002E-4</v>
      </c>
      <c r="O913" s="34">
        <f t="shared" ref="O913" si="1820">SUM(O911:O912)</f>
        <v>3.3750000000000002E-4</v>
      </c>
      <c r="P913" s="34">
        <f t="shared" ref="P913" si="1821">SUM(P911:P912)</f>
        <v>3.3750000000000002E-4</v>
      </c>
      <c r="Q913" s="34">
        <f t="shared" ref="Q913" si="1822">SUM(Q911:Q912)</f>
        <v>3.3750000000000002E-4</v>
      </c>
      <c r="R913" s="34">
        <f t="shared" ref="R913" si="1823">SUM(R911:R912)</f>
        <v>3.3750000000000002E-4</v>
      </c>
      <c r="S913" s="34">
        <f t="shared" ref="S913" si="1824">SUM(S911:S912)</f>
        <v>3.3750000000000002E-4</v>
      </c>
      <c r="T913" s="34">
        <f t="shared" ref="T913" si="1825">SUM(T911:T912)</f>
        <v>3.3750000000000002E-4</v>
      </c>
      <c r="U913" s="34">
        <f t="shared" ref="U913" si="1826">SUM(U911:U912)</f>
        <v>3.3750000000000002E-4</v>
      </c>
      <c r="V913" s="180">
        <f t="shared" si="1806"/>
        <v>6.7500000000000017E-3</v>
      </c>
      <c r="W913" s="53">
        <f t="shared" si="1807"/>
        <v>3.3750000000000007E-4</v>
      </c>
    </row>
    <row r="914" spans="1:25" s="81" customFormat="1">
      <c r="A914" s="134" t="s">
        <v>123</v>
      </c>
      <c r="B914" s="52">
        <v>0.96618357487922713</v>
      </c>
      <c r="C914" s="52">
        <v>0.93351070036640305</v>
      </c>
      <c r="D914" s="52">
        <v>0.90194270566802237</v>
      </c>
      <c r="E914" s="52">
        <v>0.87144222769857238</v>
      </c>
      <c r="F914" s="52">
        <v>0.84197316685852419</v>
      </c>
      <c r="G914" s="52">
        <v>0.81350064430775282</v>
      </c>
      <c r="H914" s="52">
        <v>0.78599096068381913</v>
      </c>
      <c r="I914" s="52">
        <v>0.75941155621625056</v>
      </c>
      <c r="J914" s="52">
        <v>0.73373097218961414</v>
      </c>
      <c r="K914" s="52">
        <v>0.70891881370977217</v>
      </c>
      <c r="L914" s="52">
        <v>0.68494571372924851</v>
      </c>
      <c r="M914" s="52">
        <v>0.66178329828912896</v>
      </c>
      <c r="N914" s="52">
        <v>0.63940415293635666</v>
      </c>
      <c r="O914" s="52">
        <v>0.61778179027667302</v>
      </c>
      <c r="P914" s="52">
        <v>0.59689061862480497</v>
      </c>
      <c r="Q914" s="52">
        <v>0.57670591171478747</v>
      </c>
      <c r="R914" s="52">
        <v>0.55720377943457733</v>
      </c>
      <c r="S914" s="52">
        <v>0.53836113955031628</v>
      </c>
      <c r="T914" s="52">
        <v>0.52015569038677911</v>
      </c>
      <c r="U914" s="52">
        <v>0.50256588443167061</v>
      </c>
      <c r="V914" s="180"/>
      <c r="W914" s="133"/>
    </row>
    <row r="915" spans="1:25" s="81" customFormat="1">
      <c r="A915" s="50" t="s">
        <v>1069</v>
      </c>
      <c r="B915" s="34">
        <f t="shared" ref="B915:U915" si="1827">B914*B913</f>
        <v>3.2608695652173916E-4</v>
      </c>
      <c r="C915" s="34">
        <f t="shared" si="1827"/>
        <v>3.1505986137366106E-4</v>
      </c>
      <c r="D915" s="34">
        <f t="shared" si="1827"/>
        <v>3.0440566316295754E-4</v>
      </c>
      <c r="E915" s="34">
        <f t="shared" si="1827"/>
        <v>2.9411175184826822E-4</v>
      </c>
      <c r="F915" s="34">
        <f t="shared" si="1827"/>
        <v>2.8416594381475195E-4</v>
      </c>
      <c r="G915" s="34">
        <f t="shared" si="1827"/>
        <v>2.745564674538666E-4</v>
      </c>
      <c r="H915" s="34">
        <f t="shared" si="1827"/>
        <v>2.6527194923078894E-4</v>
      </c>
      <c r="I915" s="34">
        <f t="shared" si="1827"/>
        <v>2.5630140022298459E-4</v>
      </c>
      <c r="J915" s="34">
        <f t="shared" si="1827"/>
        <v>2.476342031139948E-4</v>
      </c>
      <c r="K915" s="34">
        <f t="shared" si="1827"/>
        <v>2.3926009962704813E-4</v>
      </c>
      <c r="L915" s="34">
        <f t="shared" si="1827"/>
        <v>2.3116917838362139E-4</v>
      </c>
      <c r="M915" s="34">
        <f t="shared" si="1827"/>
        <v>2.2335186317258104E-4</v>
      </c>
      <c r="N915" s="34">
        <f t="shared" si="1827"/>
        <v>2.1579890161602038E-4</v>
      </c>
      <c r="O915" s="34">
        <f t="shared" si="1827"/>
        <v>2.0850135421837717E-4</v>
      </c>
      <c r="P915" s="34">
        <f t="shared" si="1827"/>
        <v>2.0145058378587169E-4</v>
      </c>
      <c r="Q915" s="34">
        <f t="shared" si="1827"/>
        <v>1.9463824520374079E-4</v>
      </c>
      <c r="R915" s="34">
        <f t="shared" si="1827"/>
        <v>1.8805627555916986E-4</v>
      </c>
      <c r="S915" s="34">
        <f t="shared" si="1827"/>
        <v>1.8169688459823176E-4</v>
      </c>
      <c r="T915" s="34">
        <f t="shared" si="1827"/>
        <v>1.7555254550553795E-4</v>
      </c>
      <c r="U915" s="34">
        <f t="shared" si="1827"/>
        <v>1.6961598599568884E-4</v>
      </c>
      <c r="V915" s="182">
        <f>SUM(B915:U915)</f>
        <v>4.7966861144089021E-3</v>
      </c>
      <c r="W915" s="35"/>
    </row>
    <row r="916" spans="1:25">
      <c r="A916" s="49"/>
      <c r="B916" s="34"/>
      <c r="C916" s="34"/>
      <c r="D916" s="34"/>
      <c r="E916" s="34"/>
      <c r="F916" s="34"/>
      <c r="G916" s="34"/>
      <c r="H916" s="34"/>
      <c r="I916" s="34"/>
      <c r="J916" s="34"/>
      <c r="K916" s="34"/>
      <c r="L916" s="34"/>
      <c r="M916" s="34"/>
      <c r="N916" s="34"/>
      <c r="O916" s="34"/>
      <c r="P916" s="34"/>
      <c r="Q916" s="34"/>
      <c r="R916" s="34"/>
      <c r="S916" s="34"/>
      <c r="T916" s="34"/>
      <c r="U916" s="34"/>
      <c r="V916" s="182"/>
      <c r="W916" s="35"/>
    </row>
    <row r="917" spans="1:25">
      <c r="A917" s="131" t="s">
        <v>1073</v>
      </c>
      <c r="B917" s="100"/>
      <c r="C917" s="100"/>
      <c r="D917" s="100"/>
      <c r="E917" s="100"/>
      <c r="F917" s="100"/>
      <c r="G917" s="100"/>
      <c r="H917" s="100"/>
      <c r="I917" s="100"/>
      <c r="J917" s="100"/>
      <c r="K917" s="100"/>
      <c r="L917" s="100"/>
      <c r="M917" s="100"/>
      <c r="N917" s="100"/>
      <c r="O917" s="100"/>
      <c r="P917" s="100"/>
      <c r="Q917" s="100"/>
      <c r="R917" s="100"/>
      <c r="S917" s="100"/>
      <c r="T917" s="100"/>
      <c r="U917" s="100"/>
      <c r="V917" s="179"/>
      <c r="W917" s="140"/>
    </row>
    <row r="918" spans="1:25">
      <c r="A918" s="200" t="s">
        <v>679</v>
      </c>
      <c r="B918" s="52">
        <f t="shared" ref="B918:U918" si="1828">B83</f>
        <v>1.35E-2</v>
      </c>
      <c r="C918" s="52">
        <f t="shared" si="1828"/>
        <v>0</v>
      </c>
      <c r="D918" s="52">
        <f t="shared" si="1828"/>
        <v>0</v>
      </c>
      <c r="E918" s="52">
        <f t="shared" si="1828"/>
        <v>1.35E-2</v>
      </c>
      <c r="F918" s="52">
        <f t="shared" si="1828"/>
        <v>0</v>
      </c>
      <c r="G918" s="52">
        <f t="shared" si="1828"/>
        <v>0</v>
      </c>
      <c r="H918" s="52">
        <f t="shared" si="1828"/>
        <v>1.35E-2</v>
      </c>
      <c r="I918" s="52">
        <f t="shared" si="1828"/>
        <v>0</v>
      </c>
      <c r="J918" s="52">
        <f t="shared" si="1828"/>
        <v>0</v>
      </c>
      <c r="K918" s="52">
        <f t="shared" si="1828"/>
        <v>1.35E-2</v>
      </c>
      <c r="L918" s="52">
        <f t="shared" si="1828"/>
        <v>0</v>
      </c>
      <c r="M918" s="52">
        <f t="shared" si="1828"/>
        <v>0</v>
      </c>
      <c r="N918" s="52">
        <f t="shared" si="1828"/>
        <v>1.35E-2</v>
      </c>
      <c r="O918" s="52">
        <f t="shared" si="1828"/>
        <v>0</v>
      </c>
      <c r="P918" s="52">
        <f t="shared" si="1828"/>
        <v>0</v>
      </c>
      <c r="Q918" s="52">
        <f t="shared" si="1828"/>
        <v>1.35E-2</v>
      </c>
      <c r="R918" s="52">
        <f t="shared" si="1828"/>
        <v>0</v>
      </c>
      <c r="S918" s="52">
        <f t="shared" si="1828"/>
        <v>0</v>
      </c>
      <c r="T918" s="52">
        <f t="shared" si="1828"/>
        <v>1.35E-2</v>
      </c>
      <c r="U918" s="52">
        <f t="shared" si="1828"/>
        <v>0</v>
      </c>
      <c r="V918" s="180">
        <f>SUM(B918:U918)</f>
        <v>9.4500000000000001E-2</v>
      </c>
      <c r="W918" s="53">
        <f>V918/20</f>
        <v>4.725E-3</v>
      </c>
    </row>
    <row r="919" spans="1:25" s="3" customFormat="1">
      <c r="A919" s="200" t="s">
        <v>680</v>
      </c>
      <c r="B919" s="52">
        <f>('Scenario 2 Assumptions'!$B$279*('Scenario 2 Assumptions'!$B$303*0.5)/20)+B100</f>
        <v>1.4343749999999997E-2</v>
      </c>
      <c r="C919" s="52">
        <f>('Scenario 2 Assumptions'!$B$279*('Scenario 2 Assumptions'!$B$303*0.5)/20)+C100</f>
        <v>1.4343749999999997E-2</v>
      </c>
      <c r="D919" s="52">
        <f>('Scenario 2 Assumptions'!$B$279*('Scenario 2 Assumptions'!$B$303*0.5)/20)+D100</f>
        <v>1.4343749999999997E-2</v>
      </c>
      <c r="E919" s="52">
        <f>('Scenario 2 Assumptions'!$B$279*('Scenario 2 Assumptions'!$B$303*0.5)/20)+E100</f>
        <v>1.4343749999999997E-2</v>
      </c>
      <c r="F919" s="52">
        <f>('Scenario 2 Assumptions'!$B$279*('Scenario 2 Assumptions'!$B$303*0.5)/20)+F100</f>
        <v>1.4343749999999997E-2</v>
      </c>
      <c r="G919" s="52">
        <f>('Scenario 2 Assumptions'!$B$279*('Scenario 2 Assumptions'!$B$303*0.5)/20)+G100</f>
        <v>1.4343749999999997E-2</v>
      </c>
      <c r="H919" s="52">
        <f>('Scenario 2 Assumptions'!$B$279*('Scenario 2 Assumptions'!$B$303*0.5)/20)+H100</f>
        <v>1.4343749999999997E-2</v>
      </c>
      <c r="I919" s="52">
        <f>('Scenario 2 Assumptions'!$B$279*('Scenario 2 Assumptions'!$B$303*0.5)/20)+I100</f>
        <v>1.4343749999999997E-2</v>
      </c>
      <c r="J919" s="52">
        <f>('Scenario 2 Assumptions'!$B$279*('Scenario 2 Assumptions'!$B$303*0.5)/20)+J100</f>
        <v>1.4343749999999997E-2</v>
      </c>
      <c r="K919" s="52">
        <f>('Scenario 2 Assumptions'!$B$279*('Scenario 2 Assumptions'!$B$303*0.5)/20)+K100</f>
        <v>1.4343749999999997E-2</v>
      </c>
      <c r="L919" s="52">
        <f>('Scenario 2 Assumptions'!$B$279*('Scenario 2 Assumptions'!$B$303*0.5)/20)+L100</f>
        <v>1.4343749999999997E-2</v>
      </c>
      <c r="M919" s="52">
        <f>('Scenario 2 Assumptions'!$B$279*('Scenario 2 Assumptions'!$B$303*0.5)/20)+M100</f>
        <v>1.4343749999999997E-2</v>
      </c>
      <c r="N919" s="52">
        <f>('Scenario 2 Assumptions'!$B$279*('Scenario 2 Assumptions'!$B$303*0.5)/20)+N100</f>
        <v>1.4343749999999997E-2</v>
      </c>
      <c r="O919" s="52">
        <f>('Scenario 2 Assumptions'!$B$279*('Scenario 2 Assumptions'!$B$303*0.5)/20)+O100</f>
        <v>1.4343749999999997E-2</v>
      </c>
      <c r="P919" s="52">
        <f>('Scenario 2 Assumptions'!$B$279*('Scenario 2 Assumptions'!$B$303*0.5)/20)+P100</f>
        <v>1.4343749999999997E-2</v>
      </c>
      <c r="Q919" s="52">
        <f>('Scenario 2 Assumptions'!$B$279*('Scenario 2 Assumptions'!$B$303*0.5)/20)+Q100</f>
        <v>1.4343749999999997E-2</v>
      </c>
      <c r="R919" s="52">
        <f>('Scenario 2 Assumptions'!$B$279*('Scenario 2 Assumptions'!$B$303*0.5)/20)+R100</f>
        <v>1.4343749999999997E-2</v>
      </c>
      <c r="S919" s="52">
        <f>('Scenario 2 Assumptions'!$B$279*('Scenario 2 Assumptions'!$B$303*0.5)/20)+S100</f>
        <v>1.4343749999999997E-2</v>
      </c>
      <c r="T919" s="52">
        <f>('Scenario 2 Assumptions'!$B$279*('Scenario 2 Assumptions'!$B$303*0.5)/20)+T100</f>
        <v>1.4343749999999997E-2</v>
      </c>
      <c r="U919" s="52">
        <f>('Scenario 2 Assumptions'!$B$279*('Scenario 2 Assumptions'!$B$303*0.5)/20)+U100</f>
        <v>1.4343749999999997E-2</v>
      </c>
      <c r="V919" s="180">
        <f t="shared" ref="V919:V920" si="1829">SUM(B919:U919)</f>
        <v>0.28687499999999988</v>
      </c>
      <c r="W919" s="53">
        <f t="shared" ref="W919:W920" si="1830">V919/20</f>
        <v>1.4343749999999994E-2</v>
      </c>
    </row>
    <row r="920" spans="1:25" ht="13.5" customHeight="1">
      <c r="A920" s="49" t="s">
        <v>664</v>
      </c>
      <c r="B920" s="34">
        <f>SUM(B918:B919)</f>
        <v>2.7843749999999997E-2</v>
      </c>
      <c r="C920" s="34">
        <f t="shared" ref="C920" si="1831">SUM(C918:C919)</f>
        <v>1.4343749999999997E-2</v>
      </c>
      <c r="D920" s="34">
        <f t="shared" ref="D920" si="1832">SUM(D918:D919)</f>
        <v>1.4343749999999997E-2</v>
      </c>
      <c r="E920" s="34">
        <f t="shared" ref="E920" si="1833">SUM(E918:E919)</f>
        <v>2.7843749999999997E-2</v>
      </c>
      <c r="F920" s="34">
        <f t="shared" ref="F920" si="1834">SUM(F918:F919)</f>
        <v>1.4343749999999997E-2</v>
      </c>
      <c r="G920" s="34">
        <f t="shared" ref="G920" si="1835">SUM(G918:G919)</f>
        <v>1.4343749999999997E-2</v>
      </c>
      <c r="H920" s="34">
        <f t="shared" ref="H920" si="1836">SUM(H918:H919)</f>
        <v>2.7843749999999997E-2</v>
      </c>
      <c r="I920" s="34">
        <f t="shared" ref="I920" si="1837">SUM(I918:I919)</f>
        <v>1.4343749999999997E-2</v>
      </c>
      <c r="J920" s="34">
        <f t="shared" ref="J920" si="1838">SUM(J918:J919)</f>
        <v>1.4343749999999997E-2</v>
      </c>
      <c r="K920" s="34">
        <f t="shared" ref="K920" si="1839">SUM(K918:K919)</f>
        <v>2.7843749999999997E-2</v>
      </c>
      <c r="L920" s="34">
        <f t="shared" ref="L920" si="1840">SUM(L918:L919)</f>
        <v>1.4343749999999997E-2</v>
      </c>
      <c r="M920" s="34">
        <f t="shared" ref="M920" si="1841">SUM(M918:M919)</f>
        <v>1.4343749999999997E-2</v>
      </c>
      <c r="N920" s="34">
        <f t="shared" ref="N920" si="1842">SUM(N918:N919)</f>
        <v>2.7843749999999997E-2</v>
      </c>
      <c r="O920" s="34">
        <f t="shared" ref="O920" si="1843">SUM(O918:O919)</f>
        <v>1.4343749999999997E-2</v>
      </c>
      <c r="P920" s="34">
        <f t="shared" ref="P920" si="1844">SUM(P918:P919)</f>
        <v>1.4343749999999997E-2</v>
      </c>
      <c r="Q920" s="34">
        <f t="shared" ref="Q920" si="1845">SUM(Q918:Q919)</f>
        <v>2.7843749999999997E-2</v>
      </c>
      <c r="R920" s="34">
        <f t="shared" ref="R920" si="1846">SUM(R918:R919)</f>
        <v>1.4343749999999997E-2</v>
      </c>
      <c r="S920" s="34">
        <f t="shared" ref="S920" si="1847">SUM(S918:S919)</f>
        <v>1.4343749999999997E-2</v>
      </c>
      <c r="T920" s="34">
        <f t="shared" ref="T920" si="1848">SUM(T918:T919)</f>
        <v>2.7843749999999997E-2</v>
      </c>
      <c r="U920" s="34">
        <f t="shared" ref="U920" si="1849">SUM(U918:U919)</f>
        <v>1.4343749999999997E-2</v>
      </c>
      <c r="V920" s="180">
        <f t="shared" si="1829"/>
        <v>0.38137499999999985</v>
      </c>
      <c r="W920" s="53">
        <f t="shared" si="1830"/>
        <v>1.9068749999999992E-2</v>
      </c>
    </row>
    <row r="921" spans="1:25" s="81" customFormat="1">
      <c r="A921" s="134" t="s">
        <v>123</v>
      </c>
      <c r="B921" s="52">
        <v>0.96618357487922713</v>
      </c>
      <c r="C921" s="52">
        <v>0.93351070036640305</v>
      </c>
      <c r="D921" s="52">
        <v>0.90194270566802237</v>
      </c>
      <c r="E921" s="52">
        <v>0.87144222769857238</v>
      </c>
      <c r="F921" s="52">
        <v>0.84197316685852419</v>
      </c>
      <c r="G921" s="52">
        <v>0.81350064430775282</v>
      </c>
      <c r="H921" s="52">
        <v>0.78599096068381913</v>
      </c>
      <c r="I921" s="52">
        <v>0.75941155621625056</v>
      </c>
      <c r="J921" s="52">
        <v>0.73373097218961414</v>
      </c>
      <c r="K921" s="52">
        <v>0.70891881370977217</v>
      </c>
      <c r="L921" s="52">
        <v>0.68494571372924851</v>
      </c>
      <c r="M921" s="52">
        <v>0.66178329828912896</v>
      </c>
      <c r="N921" s="52">
        <v>0.63940415293635666</v>
      </c>
      <c r="O921" s="52">
        <v>0.61778179027667302</v>
      </c>
      <c r="P921" s="52">
        <v>0.59689061862480497</v>
      </c>
      <c r="Q921" s="52">
        <v>0.57670591171478747</v>
      </c>
      <c r="R921" s="52">
        <v>0.55720377943457733</v>
      </c>
      <c r="S921" s="52">
        <v>0.53836113955031628</v>
      </c>
      <c r="T921" s="52">
        <v>0.52015569038677911</v>
      </c>
      <c r="U921" s="52">
        <v>0.50256588443167061</v>
      </c>
      <c r="V921" s="180"/>
      <c r="W921" s="133"/>
    </row>
    <row r="922" spans="1:25" s="81" customFormat="1">
      <c r="A922" s="50" t="s">
        <v>1069</v>
      </c>
      <c r="B922" s="34">
        <f t="shared" ref="B922:U922" si="1850">B921*B920</f>
        <v>2.6902173913043476E-2</v>
      </c>
      <c r="C922" s="34">
        <f t="shared" si="1850"/>
        <v>1.3390044108380591E-2</v>
      </c>
      <c r="D922" s="34">
        <f t="shared" si="1850"/>
        <v>1.2937240684425694E-2</v>
      </c>
      <c r="E922" s="34">
        <f t="shared" si="1850"/>
        <v>2.4264219527482121E-2</v>
      </c>
      <c r="F922" s="34">
        <f t="shared" si="1850"/>
        <v>1.2077052612126955E-2</v>
      </c>
      <c r="G922" s="34">
        <f t="shared" si="1850"/>
        <v>1.1668649866789328E-2</v>
      </c>
      <c r="H922" s="34">
        <f t="shared" si="1850"/>
        <v>2.1884935811540086E-2</v>
      </c>
      <c r="I922" s="34">
        <f t="shared" si="1850"/>
        <v>1.0892809509476842E-2</v>
      </c>
      <c r="J922" s="34">
        <f t="shared" si="1850"/>
        <v>1.0524453632344775E-2</v>
      </c>
      <c r="K922" s="34">
        <f t="shared" si="1850"/>
        <v>1.9738958219231467E-2</v>
      </c>
      <c r="L922" s="34">
        <f t="shared" si="1850"/>
        <v>9.8246900813039068E-3</v>
      </c>
      <c r="M922" s="34">
        <f t="shared" si="1850"/>
        <v>9.4924541848346918E-3</v>
      </c>
      <c r="N922" s="34">
        <f t="shared" si="1850"/>
        <v>1.7803409383321679E-2</v>
      </c>
      <c r="O922" s="34">
        <f t="shared" si="1850"/>
        <v>8.8613075542810261E-3</v>
      </c>
      <c r="P922" s="34">
        <f t="shared" si="1850"/>
        <v>8.5616498108995447E-3</v>
      </c>
      <c r="Q922" s="34">
        <f t="shared" si="1850"/>
        <v>1.6057655229308611E-2</v>
      </c>
      <c r="R922" s="34">
        <f t="shared" si="1850"/>
        <v>7.992391711264717E-3</v>
      </c>
      <c r="S922" s="34">
        <f t="shared" si="1850"/>
        <v>7.722117595424848E-3</v>
      </c>
      <c r="T922" s="34">
        <f t="shared" si="1850"/>
        <v>1.4483085004206879E-2</v>
      </c>
      <c r="U922" s="34">
        <f t="shared" si="1850"/>
        <v>7.2086794048167738E-3</v>
      </c>
      <c r="V922" s="182">
        <f>SUM(B922:U922)</f>
        <v>0.27228797784450398</v>
      </c>
      <c r="W922" s="35"/>
    </row>
    <row r="923" spans="1:25">
      <c r="A923" s="49"/>
      <c r="B923" s="34"/>
      <c r="C923" s="34"/>
      <c r="D923" s="34"/>
      <c r="E923" s="34"/>
      <c r="F923" s="34"/>
      <c r="G923" s="34"/>
      <c r="H923" s="34"/>
      <c r="I923" s="34"/>
      <c r="J923" s="34"/>
      <c r="K923" s="34"/>
      <c r="L923" s="34"/>
      <c r="M923" s="34"/>
      <c r="N923" s="34"/>
      <c r="O923" s="34"/>
      <c r="P923" s="34"/>
      <c r="Q923" s="34"/>
      <c r="R923" s="34"/>
      <c r="S923" s="34"/>
      <c r="T923" s="34"/>
      <c r="U923" s="34"/>
      <c r="V923" s="182"/>
      <c r="W923" s="35"/>
      <c r="Y923" s="175"/>
    </row>
    <row r="924" spans="1:25">
      <c r="A924" s="131" t="s">
        <v>1118</v>
      </c>
      <c r="B924" s="100"/>
      <c r="C924" s="100"/>
      <c r="D924" s="100"/>
      <c r="E924" s="100"/>
      <c r="F924" s="100"/>
      <c r="G924" s="100"/>
      <c r="H924" s="100"/>
      <c r="I924" s="100"/>
      <c r="J924" s="100"/>
      <c r="K924" s="100"/>
      <c r="L924" s="100"/>
      <c r="M924" s="100"/>
      <c r="N924" s="100"/>
      <c r="O924" s="100"/>
      <c r="P924" s="100"/>
      <c r="Q924" s="100"/>
      <c r="R924" s="100"/>
      <c r="S924" s="100"/>
      <c r="T924" s="100"/>
      <c r="U924" s="100"/>
      <c r="V924" s="179"/>
      <c r="W924" s="140"/>
      <c r="Y924" s="175"/>
    </row>
    <row r="925" spans="1:25">
      <c r="A925" s="200" t="s">
        <v>679</v>
      </c>
      <c r="B925" s="52">
        <v>0</v>
      </c>
      <c r="C925" s="52">
        <v>0</v>
      </c>
      <c r="D925" s="52">
        <v>0</v>
      </c>
      <c r="E925" s="52">
        <v>0</v>
      </c>
      <c r="F925" s="52">
        <v>0</v>
      </c>
      <c r="G925" s="52">
        <v>0</v>
      </c>
      <c r="H925" s="52">
        <v>0</v>
      </c>
      <c r="I925" s="52">
        <v>0</v>
      </c>
      <c r="J925" s="52">
        <v>0</v>
      </c>
      <c r="K925" s="52">
        <v>0</v>
      </c>
      <c r="L925" s="52">
        <v>0</v>
      </c>
      <c r="M925" s="52">
        <v>0</v>
      </c>
      <c r="N925" s="52">
        <v>0</v>
      </c>
      <c r="O925" s="52">
        <v>0</v>
      </c>
      <c r="P925" s="52">
        <v>0</v>
      </c>
      <c r="Q925" s="52">
        <v>0</v>
      </c>
      <c r="R925" s="52">
        <v>0</v>
      </c>
      <c r="S925" s="52">
        <v>0</v>
      </c>
      <c r="T925" s="52">
        <v>0</v>
      </c>
      <c r="U925" s="52">
        <v>0</v>
      </c>
      <c r="V925" s="180">
        <f>SUM(B925:U925)</f>
        <v>0</v>
      </c>
      <c r="W925" s="53">
        <f>V925/20</f>
        <v>0</v>
      </c>
      <c r="Y925" s="175"/>
    </row>
    <row r="926" spans="1:25" s="3" customFormat="1">
      <c r="A926" s="200" t="s">
        <v>680</v>
      </c>
      <c r="B926" s="52">
        <f>('Scenario 2 Assumptions'!$B$279*('Scenario 2 Assumptions'!$B$304*0.5)/20)</f>
        <v>1.6875000000000001E-4</v>
      </c>
      <c r="C926" s="52">
        <f>('Scenario 2 Assumptions'!$B$279*('Scenario 2 Assumptions'!$B$304*0.5)/20)</f>
        <v>1.6875000000000001E-4</v>
      </c>
      <c r="D926" s="52">
        <f>('Scenario 2 Assumptions'!$B$279*('Scenario 2 Assumptions'!$B$304*0.5)/20)</f>
        <v>1.6875000000000001E-4</v>
      </c>
      <c r="E926" s="52">
        <f>('Scenario 2 Assumptions'!$B$279*('Scenario 2 Assumptions'!$B$304*0.5)/20)</f>
        <v>1.6875000000000001E-4</v>
      </c>
      <c r="F926" s="52">
        <f>('Scenario 2 Assumptions'!$B$279*('Scenario 2 Assumptions'!$B$304*0.5)/20)</f>
        <v>1.6875000000000001E-4</v>
      </c>
      <c r="G926" s="52">
        <f>('Scenario 2 Assumptions'!$B$279*('Scenario 2 Assumptions'!$B$304*0.5)/20)</f>
        <v>1.6875000000000001E-4</v>
      </c>
      <c r="H926" s="52">
        <f>('Scenario 2 Assumptions'!$B$279*('Scenario 2 Assumptions'!$B$304*0.5)/20)</f>
        <v>1.6875000000000001E-4</v>
      </c>
      <c r="I926" s="52">
        <f>('Scenario 2 Assumptions'!$B$279*('Scenario 2 Assumptions'!$B$304*0.5)/20)</f>
        <v>1.6875000000000001E-4</v>
      </c>
      <c r="J926" s="52">
        <f>('Scenario 2 Assumptions'!$B$279*('Scenario 2 Assumptions'!$B$304*0.5)/20)</f>
        <v>1.6875000000000001E-4</v>
      </c>
      <c r="K926" s="52">
        <f>('Scenario 2 Assumptions'!$B$279*('Scenario 2 Assumptions'!$B$304*0.5)/20)</f>
        <v>1.6875000000000001E-4</v>
      </c>
      <c r="L926" s="52">
        <f>('Scenario 2 Assumptions'!$B$279*('Scenario 2 Assumptions'!$B$304*0.5)/20)</f>
        <v>1.6875000000000001E-4</v>
      </c>
      <c r="M926" s="52">
        <f>('Scenario 2 Assumptions'!$B$279*('Scenario 2 Assumptions'!$B$304*0.5)/20)</f>
        <v>1.6875000000000001E-4</v>
      </c>
      <c r="N926" s="52">
        <f>('Scenario 2 Assumptions'!$B$279*('Scenario 2 Assumptions'!$B$304*0.5)/20)</f>
        <v>1.6875000000000001E-4</v>
      </c>
      <c r="O926" s="52">
        <f>('Scenario 2 Assumptions'!$B$279*('Scenario 2 Assumptions'!$B$304*0.5)/20)</f>
        <v>1.6875000000000001E-4</v>
      </c>
      <c r="P926" s="52">
        <f>('Scenario 2 Assumptions'!$B$279*('Scenario 2 Assumptions'!$B$304*0.5)/20)</f>
        <v>1.6875000000000001E-4</v>
      </c>
      <c r="Q926" s="52">
        <f>('Scenario 2 Assumptions'!$B$279*('Scenario 2 Assumptions'!$B$304*0.5)/20)</f>
        <v>1.6875000000000001E-4</v>
      </c>
      <c r="R926" s="52">
        <f>('Scenario 2 Assumptions'!$B$279*('Scenario 2 Assumptions'!$B$304*0.5)/20)</f>
        <v>1.6875000000000001E-4</v>
      </c>
      <c r="S926" s="52">
        <f>('Scenario 2 Assumptions'!$B$279*('Scenario 2 Assumptions'!$B$304*0.5)/20)</f>
        <v>1.6875000000000001E-4</v>
      </c>
      <c r="T926" s="52">
        <f>('Scenario 2 Assumptions'!$B$279*('Scenario 2 Assumptions'!$B$304*0.5)/20)</f>
        <v>1.6875000000000001E-4</v>
      </c>
      <c r="U926" s="52">
        <f>('Scenario 2 Assumptions'!$B$279*('Scenario 2 Assumptions'!$B$304*0.5)/20)</f>
        <v>1.6875000000000001E-4</v>
      </c>
      <c r="V926" s="180">
        <f t="shared" ref="V926:V927" si="1851">SUM(B926:U926)</f>
        <v>3.3750000000000008E-3</v>
      </c>
      <c r="W926" s="53">
        <f t="shared" ref="W926:W927" si="1852">V926/20</f>
        <v>1.6875000000000004E-4</v>
      </c>
    </row>
    <row r="927" spans="1:25" ht="13.5" customHeight="1">
      <c r="A927" s="49" t="s">
        <v>664</v>
      </c>
      <c r="B927" s="34">
        <f>SUM(B925:B926)</f>
        <v>1.6875000000000001E-4</v>
      </c>
      <c r="C927" s="34">
        <f t="shared" ref="C927" si="1853">SUM(C925:C926)</f>
        <v>1.6875000000000001E-4</v>
      </c>
      <c r="D927" s="34">
        <f t="shared" ref="D927" si="1854">SUM(D925:D926)</f>
        <v>1.6875000000000001E-4</v>
      </c>
      <c r="E927" s="34">
        <f t="shared" ref="E927" si="1855">SUM(E925:E926)</f>
        <v>1.6875000000000001E-4</v>
      </c>
      <c r="F927" s="34">
        <f t="shared" ref="F927" si="1856">SUM(F925:F926)</f>
        <v>1.6875000000000001E-4</v>
      </c>
      <c r="G927" s="34">
        <f t="shared" ref="G927" si="1857">SUM(G925:G926)</f>
        <v>1.6875000000000001E-4</v>
      </c>
      <c r="H927" s="34">
        <f t="shared" ref="H927" si="1858">SUM(H925:H926)</f>
        <v>1.6875000000000001E-4</v>
      </c>
      <c r="I927" s="34">
        <f t="shared" ref="I927" si="1859">SUM(I925:I926)</f>
        <v>1.6875000000000001E-4</v>
      </c>
      <c r="J927" s="34">
        <f t="shared" ref="J927" si="1860">SUM(J925:J926)</f>
        <v>1.6875000000000001E-4</v>
      </c>
      <c r="K927" s="34">
        <f t="shared" ref="K927" si="1861">SUM(K925:K926)</f>
        <v>1.6875000000000001E-4</v>
      </c>
      <c r="L927" s="34">
        <f t="shared" ref="L927" si="1862">SUM(L925:L926)</f>
        <v>1.6875000000000001E-4</v>
      </c>
      <c r="M927" s="34">
        <f t="shared" ref="M927" si="1863">SUM(M925:M926)</f>
        <v>1.6875000000000001E-4</v>
      </c>
      <c r="N927" s="34">
        <f t="shared" ref="N927" si="1864">SUM(N925:N926)</f>
        <v>1.6875000000000001E-4</v>
      </c>
      <c r="O927" s="34">
        <f t="shared" ref="O927" si="1865">SUM(O925:O926)</f>
        <v>1.6875000000000001E-4</v>
      </c>
      <c r="P927" s="34">
        <f t="shared" ref="P927" si="1866">SUM(P925:P926)</f>
        <v>1.6875000000000001E-4</v>
      </c>
      <c r="Q927" s="34">
        <f t="shared" ref="Q927" si="1867">SUM(Q925:Q926)</f>
        <v>1.6875000000000001E-4</v>
      </c>
      <c r="R927" s="34">
        <f t="shared" ref="R927" si="1868">SUM(R925:R926)</f>
        <v>1.6875000000000001E-4</v>
      </c>
      <c r="S927" s="34">
        <f t="shared" ref="S927" si="1869">SUM(S925:S926)</f>
        <v>1.6875000000000001E-4</v>
      </c>
      <c r="T927" s="34">
        <f t="shared" ref="T927" si="1870">SUM(T925:T926)</f>
        <v>1.6875000000000001E-4</v>
      </c>
      <c r="U927" s="34">
        <f t="shared" ref="U927" si="1871">SUM(U925:U926)</f>
        <v>1.6875000000000001E-4</v>
      </c>
      <c r="V927" s="180">
        <f t="shared" si="1851"/>
        <v>3.3750000000000008E-3</v>
      </c>
      <c r="W927" s="53">
        <f t="shared" si="1852"/>
        <v>1.6875000000000004E-4</v>
      </c>
    </row>
    <row r="928" spans="1:25" s="81" customFormat="1">
      <c r="A928" s="134" t="s">
        <v>123</v>
      </c>
      <c r="B928" s="52">
        <v>0.96618357487922713</v>
      </c>
      <c r="C928" s="52">
        <v>0.93351070036640305</v>
      </c>
      <c r="D928" s="52">
        <v>0.90194270566802237</v>
      </c>
      <c r="E928" s="52">
        <v>0.87144222769857238</v>
      </c>
      <c r="F928" s="52">
        <v>0.84197316685852419</v>
      </c>
      <c r="G928" s="52">
        <v>0.81350064430775282</v>
      </c>
      <c r="H928" s="52">
        <v>0.78599096068381913</v>
      </c>
      <c r="I928" s="52">
        <v>0.75941155621625056</v>
      </c>
      <c r="J928" s="52">
        <v>0.73373097218961414</v>
      </c>
      <c r="K928" s="52">
        <v>0.70891881370977217</v>
      </c>
      <c r="L928" s="52">
        <v>0.68494571372924851</v>
      </c>
      <c r="M928" s="52">
        <v>0.66178329828912896</v>
      </c>
      <c r="N928" s="52">
        <v>0.63940415293635666</v>
      </c>
      <c r="O928" s="52">
        <v>0.61778179027667302</v>
      </c>
      <c r="P928" s="52">
        <v>0.59689061862480497</v>
      </c>
      <c r="Q928" s="52">
        <v>0.57670591171478747</v>
      </c>
      <c r="R928" s="52">
        <v>0.55720377943457733</v>
      </c>
      <c r="S928" s="52">
        <v>0.53836113955031628</v>
      </c>
      <c r="T928" s="52">
        <v>0.52015569038677911</v>
      </c>
      <c r="U928" s="52">
        <v>0.50256588443167061</v>
      </c>
      <c r="V928" s="180"/>
      <c r="W928" s="133"/>
    </row>
    <row r="929" spans="1:23" s="81" customFormat="1">
      <c r="A929" s="50" t="s">
        <v>1069</v>
      </c>
      <c r="B929" s="34">
        <f t="shared" ref="B929:U929" si="1872">B928*B927</f>
        <v>1.6304347826086958E-4</v>
      </c>
      <c r="C929" s="34">
        <f t="shared" si="1872"/>
        <v>1.5752993068683053E-4</v>
      </c>
      <c r="D929" s="34">
        <f t="shared" si="1872"/>
        <v>1.5220283158147877E-4</v>
      </c>
      <c r="E929" s="34">
        <f t="shared" si="1872"/>
        <v>1.4705587592413411E-4</v>
      </c>
      <c r="F929" s="34">
        <f t="shared" si="1872"/>
        <v>1.4208297190737598E-4</v>
      </c>
      <c r="G929" s="34">
        <f t="shared" si="1872"/>
        <v>1.372782337269333E-4</v>
      </c>
      <c r="H929" s="34">
        <f t="shared" si="1872"/>
        <v>1.3263597461539447E-4</v>
      </c>
      <c r="I929" s="34">
        <f t="shared" si="1872"/>
        <v>1.281507001114923E-4</v>
      </c>
      <c r="J929" s="34">
        <f t="shared" si="1872"/>
        <v>1.238171015569974E-4</v>
      </c>
      <c r="K929" s="34">
        <f t="shared" si="1872"/>
        <v>1.1963004981352407E-4</v>
      </c>
      <c r="L929" s="34">
        <f t="shared" si="1872"/>
        <v>1.1558458919181069E-4</v>
      </c>
      <c r="M929" s="34">
        <f t="shared" si="1872"/>
        <v>1.1167593158629052E-4</v>
      </c>
      <c r="N929" s="34">
        <f t="shared" si="1872"/>
        <v>1.0789945080801019E-4</v>
      </c>
      <c r="O929" s="34">
        <f t="shared" si="1872"/>
        <v>1.0425067710918858E-4</v>
      </c>
      <c r="P929" s="34">
        <f t="shared" si="1872"/>
        <v>1.0072529189293584E-4</v>
      </c>
      <c r="Q929" s="34">
        <f t="shared" si="1872"/>
        <v>9.7319122601870396E-5</v>
      </c>
      <c r="R929" s="34">
        <f t="shared" si="1872"/>
        <v>9.402813777958493E-5</v>
      </c>
      <c r="S929" s="34">
        <f t="shared" si="1872"/>
        <v>9.0848442299115879E-5</v>
      </c>
      <c r="T929" s="34">
        <f t="shared" si="1872"/>
        <v>8.7776272752768973E-5</v>
      </c>
      <c r="U929" s="34">
        <f t="shared" si="1872"/>
        <v>8.4807992997844422E-5</v>
      </c>
      <c r="V929" s="182">
        <f>SUM(B929:U929)</f>
        <v>2.3983430572044511E-3</v>
      </c>
      <c r="W929" s="35"/>
    </row>
    <row r="930" spans="1:23">
      <c r="A930" s="49"/>
      <c r="B930" s="34"/>
      <c r="C930" s="34"/>
      <c r="D930" s="34"/>
      <c r="E930" s="34"/>
      <c r="F930" s="34"/>
      <c r="G930" s="34"/>
      <c r="H930" s="34"/>
      <c r="I930" s="34"/>
      <c r="J930" s="34"/>
      <c r="K930" s="34"/>
      <c r="L930" s="34"/>
      <c r="M930" s="34"/>
      <c r="N930" s="34"/>
      <c r="O930" s="34"/>
      <c r="P930" s="34"/>
      <c r="Q930" s="34"/>
      <c r="R930" s="34"/>
      <c r="S930" s="34"/>
      <c r="T930" s="34"/>
      <c r="U930" s="34"/>
      <c r="V930" s="182"/>
      <c r="W930" s="35"/>
    </row>
    <row r="931" spans="1:23">
      <c r="A931" s="131" t="s">
        <v>1072</v>
      </c>
      <c r="B931" s="100"/>
      <c r="C931" s="100"/>
      <c r="D931" s="100"/>
      <c r="E931" s="100"/>
      <c r="F931" s="100"/>
      <c r="G931" s="100"/>
      <c r="H931" s="100"/>
      <c r="I931" s="100"/>
      <c r="J931" s="100"/>
      <c r="K931" s="100"/>
      <c r="L931" s="100"/>
      <c r="M931" s="100"/>
      <c r="N931" s="100"/>
      <c r="O931" s="100"/>
      <c r="P931" s="100"/>
      <c r="Q931" s="100"/>
      <c r="R931" s="100"/>
      <c r="S931" s="100"/>
      <c r="T931" s="100"/>
      <c r="U931" s="100"/>
      <c r="V931" s="179"/>
      <c r="W931" s="140"/>
    </row>
    <row r="932" spans="1:23">
      <c r="A932" s="200" t="s">
        <v>679</v>
      </c>
      <c r="B932" s="52">
        <f t="shared" ref="B932:U932" si="1873">B84</f>
        <v>1.35E-2</v>
      </c>
      <c r="C932" s="52">
        <f t="shared" si="1873"/>
        <v>0</v>
      </c>
      <c r="D932" s="52">
        <f t="shared" si="1873"/>
        <v>0</v>
      </c>
      <c r="E932" s="52">
        <f t="shared" si="1873"/>
        <v>1.35E-2</v>
      </c>
      <c r="F932" s="52">
        <f t="shared" si="1873"/>
        <v>0</v>
      </c>
      <c r="G932" s="52">
        <f t="shared" si="1873"/>
        <v>0</v>
      </c>
      <c r="H932" s="52">
        <f t="shared" si="1873"/>
        <v>1.35E-2</v>
      </c>
      <c r="I932" s="52">
        <f t="shared" si="1873"/>
        <v>0</v>
      </c>
      <c r="J932" s="52">
        <f t="shared" si="1873"/>
        <v>0</v>
      </c>
      <c r="K932" s="52">
        <f t="shared" si="1873"/>
        <v>1.35E-2</v>
      </c>
      <c r="L932" s="52">
        <f t="shared" si="1873"/>
        <v>0</v>
      </c>
      <c r="M932" s="52">
        <f t="shared" si="1873"/>
        <v>0</v>
      </c>
      <c r="N932" s="52">
        <f t="shared" si="1873"/>
        <v>1.35E-2</v>
      </c>
      <c r="O932" s="52">
        <f t="shared" si="1873"/>
        <v>0</v>
      </c>
      <c r="P932" s="52">
        <f t="shared" si="1873"/>
        <v>0</v>
      </c>
      <c r="Q932" s="52">
        <f t="shared" si="1873"/>
        <v>1.35E-2</v>
      </c>
      <c r="R932" s="52">
        <f t="shared" si="1873"/>
        <v>0</v>
      </c>
      <c r="S932" s="52">
        <f t="shared" si="1873"/>
        <v>0</v>
      </c>
      <c r="T932" s="52">
        <f t="shared" si="1873"/>
        <v>1.35E-2</v>
      </c>
      <c r="U932" s="52">
        <f t="shared" si="1873"/>
        <v>0</v>
      </c>
      <c r="V932" s="180">
        <f>SUM(B932:U932)</f>
        <v>9.4500000000000001E-2</v>
      </c>
      <c r="W932" s="53">
        <f>V932/20</f>
        <v>4.725E-3</v>
      </c>
    </row>
    <row r="933" spans="1:23" s="3" customFormat="1">
      <c r="A933" s="200" t="s">
        <v>680</v>
      </c>
      <c r="B933" s="52">
        <f>('Scenario 2 Assumptions'!$B$279*('Scenario 2 Assumptions'!$B$305*0.5)/20)+B99</f>
        <v>1.4512499999999996E-2</v>
      </c>
      <c r="C933" s="52">
        <f>('Scenario 2 Assumptions'!$B$279*('Scenario 2 Assumptions'!$B$305*0.5)/20)+C99</f>
        <v>1.4512499999999996E-2</v>
      </c>
      <c r="D933" s="52">
        <f>('Scenario 2 Assumptions'!$B$279*('Scenario 2 Assumptions'!$B$305*0.5)/20)+D99</f>
        <v>1.4512499999999996E-2</v>
      </c>
      <c r="E933" s="52">
        <f>('Scenario 2 Assumptions'!$B$279*('Scenario 2 Assumptions'!$B$305*0.5)/20)+E99</f>
        <v>1.4512499999999996E-2</v>
      </c>
      <c r="F933" s="52">
        <f>('Scenario 2 Assumptions'!$B$279*('Scenario 2 Assumptions'!$B$305*0.5)/20)+F99</f>
        <v>1.4512499999999996E-2</v>
      </c>
      <c r="G933" s="52">
        <f>('Scenario 2 Assumptions'!$B$279*('Scenario 2 Assumptions'!$B$305*0.5)/20)+G99</f>
        <v>1.4512499999999996E-2</v>
      </c>
      <c r="H933" s="52">
        <f>('Scenario 2 Assumptions'!$B$279*('Scenario 2 Assumptions'!$B$305*0.5)/20)+H99</f>
        <v>1.4512499999999996E-2</v>
      </c>
      <c r="I933" s="52">
        <f>('Scenario 2 Assumptions'!$B$279*('Scenario 2 Assumptions'!$B$305*0.5)/20)+I99</f>
        <v>1.4512499999999996E-2</v>
      </c>
      <c r="J933" s="52">
        <f>('Scenario 2 Assumptions'!$B$279*('Scenario 2 Assumptions'!$B$305*0.5)/20)+J99</f>
        <v>1.4512499999999996E-2</v>
      </c>
      <c r="K933" s="52">
        <f>('Scenario 2 Assumptions'!$B$279*('Scenario 2 Assumptions'!$B$305*0.5)/20)+K99</f>
        <v>1.4512499999999996E-2</v>
      </c>
      <c r="L933" s="52">
        <f>('Scenario 2 Assumptions'!$B$279*('Scenario 2 Assumptions'!$B$305*0.5)/20)+L99</f>
        <v>1.4512499999999996E-2</v>
      </c>
      <c r="M933" s="52">
        <f>('Scenario 2 Assumptions'!$B$279*('Scenario 2 Assumptions'!$B$305*0.5)/20)+M99</f>
        <v>1.4512499999999996E-2</v>
      </c>
      <c r="N933" s="52">
        <f>('Scenario 2 Assumptions'!$B$279*('Scenario 2 Assumptions'!$B$305*0.5)/20)+N99</f>
        <v>1.4512499999999996E-2</v>
      </c>
      <c r="O933" s="52">
        <f>('Scenario 2 Assumptions'!$B$279*('Scenario 2 Assumptions'!$B$305*0.5)/20)+O99</f>
        <v>1.4512499999999996E-2</v>
      </c>
      <c r="P933" s="52">
        <f>('Scenario 2 Assumptions'!$B$279*('Scenario 2 Assumptions'!$B$305*0.5)/20)+P99</f>
        <v>1.4512499999999996E-2</v>
      </c>
      <c r="Q933" s="52">
        <f>('Scenario 2 Assumptions'!$B$279*('Scenario 2 Assumptions'!$B$305*0.5)/20)+Q99</f>
        <v>1.4512499999999996E-2</v>
      </c>
      <c r="R933" s="52">
        <f>('Scenario 2 Assumptions'!$B$279*('Scenario 2 Assumptions'!$B$305*0.5)/20)+R99</f>
        <v>1.4512499999999996E-2</v>
      </c>
      <c r="S933" s="52">
        <f>('Scenario 2 Assumptions'!$B$279*('Scenario 2 Assumptions'!$B$305*0.5)/20)+S99</f>
        <v>1.4512499999999996E-2</v>
      </c>
      <c r="T933" s="52">
        <f>('Scenario 2 Assumptions'!$B$279*('Scenario 2 Assumptions'!$B$305*0.5)/20)+T99</f>
        <v>1.4512499999999996E-2</v>
      </c>
      <c r="U933" s="52">
        <f>('Scenario 2 Assumptions'!$B$279*('Scenario 2 Assumptions'!$B$305*0.5)/20)+U99</f>
        <v>1.4512499999999996E-2</v>
      </c>
      <c r="V933" s="180">
        <f t="shared" ref="V933:V934" si="1874">SUM(B933:U933)</f>
        <v>0.29024999999999979</v>
      </c>
      <c r="W933" s="53">
        <f t="shared" ref="W933:W934" si="1875">V933/20</f>
        <v>1.4512499999999989E-2</v>
      </c>
    </row>
    <row r="934" spans="1:23" ht="13.5" customHeight="1">
      <c r="A934" s="49" t="s">
        <v>664</v>
      </c>
      <c r="B934" s="34">
        <f>SUM(B932:B933)</f>
        <v>2.8012499999999996E-2</v>
      </c>
      <c r="C934" s="34">
        <f t="shared" ref="C934" si="1876">SUM(C932:C933)</f>
        <v>1.4512499999999996E-2</v>
      </c>
      <c r="D934" s="34">
        <f t="shared" ref="D934" si="1877">SUM(D932:D933)</f>
        <v>1.4512499999999996E-2</v>
      </c>
      <c r="E934" s="34">
        <f t="shared" ref="E934" si="1878">SUM(E932:E933)</f>
        <v>2.8012499999999996E-2</v>
      </c>
      <c r="F934" s="34">
        <f t="shared" ref="F934" si="1879">SUM(F932:F933)</f>
        <v>1.4512499999999996E-2</v>
      </c>
      <c r="G934" s="34">
        <f t="shared" ref="G934" si="1880">SUM(G932:G933)</f>
        <v>1.4512499999999996E-2</v>
      </c>
      <c r="H934" s="34">
        <f t="shared" ref="H934" si="1881">SUM(H932:H933)</f>
        <v>2.8012499999999996E-2</v>
      </c>
      <c r="I934" s="34">
        <f t="shared" ref="I934" si="1882">SUM(I932:I933)</f>
        <v>1.4512499999999996E-2</v>
      </c>
      <c r="J934" s="34">
        <f t="shared" ref="J934" si="1883">SUM(J932:J933)</f>
        <v>1.4512499999999996E-2</v>
      </c>
      <c r="K934" s="34">
        <f t="shared" ref="K934" si="1884">SUM(K932:K933)</f>
        <v>2.8012499999999996E-2</v>
      </c>
      <c r="L934" s="34">
        <f t="shared" ref="L934" si="1885">SUM(L932:L933)</f>
        <v>1.4512499999999996E-2</v>
      </c>
      <c r="M934" s="34">
        <f t="shared" ref="M934" si="1886">SUM(M932:M933)</f>
        <v>1.4512499999999996E-2</v>
      </c>
      <c r="N934" s="34">
        <f t="shared" ref="N934" si="1887">SUM(N932:N933)</f>
        <v>2.8012499999999996E-2</v>
      </c>
      <c r="O934" s="34">
        <f t="shared" ref="O934" si="1888">SUM(O932:O933)</f>
        <v>1.4512499999999996E-2</v>
      </c>
      <c r="P934" s="34">
        <f t="shared" ref="P934" si="1889">SUM(P932:P933)</f>
        <v>1.4512499999999996E-2</v>
      </c>
      <c r="Q934" s="34">
        <f t="shared" ref="Q934" si="1890">SUM(Q932:Q933)</f>
        <v>2.8012499999999996E-2</v>
      </c>
      <c r="R934" s="34">
        <f t="shared" ref="R934" si="1891">SUM(R932:R933)</f>
        <v>1.4512499999999996E-2</v>
      </c>
      <c r="S934" s="34">
        <f t="shared" ref="S934" si="1892">SUM(S932:S933)</f>
        <v>1.4512499999999996E-2</v>
      </c>
      <c r="T934" s="34">
        <f t="shared" ref="T934" si="1893">SUM(T932:T933)</f>
        <v>2.8012499999999996E-2</v>
      </c>
      <c r="U934" s="34">
        <f t="shared" ref="U934" si="1894">SUM(U932:U933)</f>
        <v>1.4512499999999996E-2</v>
      </c>
      <c r="V934" s="180">
        <f t="shared" si="1874"/>
        <v>0.38474999999999981</v>
      </c>
      <c r="W934" s="53">
        <f t="shared" si="1875"/>
        <v>1.9237499999999991E-2</v>
      </c>
    </row>
    <row r="935" spans="1:23" s="81" customFormat="1">
      <c r="A935" s="134" t="s">
        <v>123</v>
      </c>
      <c r="B935" s="52">
        <v>0.96618357487922713</v>
      </c>
      <c r="C935" s="52">
        <v>0.93351070036640305</v>
      </c>
      <c r="D935" s="52">
        <v>0.90194270566802237</v>
      </c>
      <c r="E935" s="52">
        <v>0.87144222769857238</v>
      </c>
      <c r="F935" s="52">
        <v>0.84197316685852419</v>
      </c>
      <c r="G935" s="52">
        <v>0.81350064430775282</v>
      </c>
      <c r="H935" s="52">
        <v>0.78599096068381913</v>
      </c>
      <c r="I935" s="52">
        <v>0.75941155621625056</v>
      </c>
      <c r="J935" s="52">
        <v>0.73373097218961414</v>
      </c>
      <c r="K935" s="52">
        <v>0.70891881370977217</v>
      </c>
      <c r="L935" s="52">
        <v>0.68494571372924851</v>
      </c>
      <c r="M935" s="52">
        <v>0.66178329828912896</v>
      </c>
      <c r="N935" s="52">
        <v>0.63940415293635666</v>
      </c>
      <c r="O935" s="52">
        <v>0.61778179027667302</v>
      </c>
      <c r="P935" s="52">
        <v>0.59689061862480497</v>
      </c>
      <c r="Q935" s="52">
        <v>0.57670591171478747</v>
      </c>
      <c r="R935" s="52">
        <v>0.55720377943457733</v>
      </c>
      <c r="S935" s="52">
        <v>0.53836113955031628</v>
      </c>
      <c r="T935" s="52">
        <v>0.52015569038677911</v>
      </c>
      <c r="U935" s="52">
        <v>0.50256588443167061</v>
      </c>
      <c r="V935" s="180"/>
      <c r="W935" s="133"/>
    </row>
    <row r="936" spans="1:23" s="81" customFormat="1">
      <c r="A936" s="50" t="s">
        <v>1069</v>
      </c>
      <c r="B936" s="34">
        <f t="shared" ref="B936:U936" si="1895">B935*B934</f>
        <v>2.7065217391304346E-2</v>
      </c>
      <c r="C936" s="34">
        <f t="shared" si="1895"/>
        <v>1.3547574039067421E-2</v>
      </c>
      <c r="D936" s="34">
        <f t="shared" si="1895"/>
        <v>1.308944351600717E-2</v>
      </c>
      <c r="E936" s="34">
        <f t="shared" si="1895"/>
        <v>2.4411275403406256E-2</v>
      </c>
      <c r="F936" s="34">
        <f t="shared" si="1895"/>
        <v>1.2219135584034329E-2</v>
      </c>
      <c r="G936" s="34">
        <f t="shared" si="1895"/>
        <v>1.1805928100516259E-2</v>
      </c>
      <c r="H936" s="34">
        <f t="shared" si="1895"/>
        <v>2.2017571786155481E-2</v>
      </c>
      <c r="I936" s="34">
        <f t="shared" si="1895"/>
        <v>1.1020960209588333E-2</v>
      </c>
      <c r="J936" s="34">
        <f t="shared" si="1895"/>
        <v>1.0648270733901772E-2</v>
      </c>
      <c r="K936" s="34">
        <f t="shared" si="1895"/>
        <v>1.9858588269044991E-2</v>
      </c>
      <c r="L936" s="34">
        <f t="shared" si="1895"/>
        <v>9.9402746704957169E-3</v>
      </c>
      <c r="M936" s="34">
        <f t="shared" si="1895"/>
        <v>9.6041301164209811E-3</v>
      </c>
      <c r="N936" s="34">
        <f t="shared" si="1895"/>
        <v>1.791130883412969E-2</v>
      </c>
      <c r="O936" s="34">
        <f t="shared" si="1895"/>
        <v>8.9655582313902145E-3</v>
      </c>
      <c r="P936" s="34">
        <f t="shared" si="1895"/>
        <v>8.6623751027924793E-3</v>
      </c>
      <c r="Q936" s="34">
        <f t="shared" si="1895"/>
        <v>1.6154974351910482E-2</v>
      </c>
      <c r="R936" s="34">
        <f t="shared" si="1895"/>
        <v>8.0864198490443011E-3</v>
      </c>
      <c r="S936" s="34">
        <f t="shared" si="1895"/>
        <v>7.8129660377239622E-3</v>
      </c>
      <c r="T936" s="34">
        <f t="shared" si="1895"/>
        <v>1.4570861276959647E-2</v>
      </c>
      <c r="U936" s="34">
        <f t="shared" si="1895"/>
        <v>7.2934873978146176E-3</v>
      </c>
      <c r="V936" s="182">
        <f>SUM(B936:U936)</f>
        <v>0.27468632090170841</v>
      </c>
      <c r="W936" s="35"/>
    </row>
    <row r="937" spans="1:23">
      <c r="A937" s="49"/>
      <c r="B937" s="34"/>
      <c r="C937" s="34"/>
      <c r="D937" s="34"/>
      <c r="E937" s="34"/>
      <c r="F937" s="34"/>
      <c r="G937" s="34"/>
      <c r="H937" s="34"/>
      <c r="I937" s="34"/>
      <c r="J937" s="34"/>
      <c r="K937" s="34"/>
      <c r="L937" s="34"/>
      <c r="M937" s="34"/>
      <c r="N937" s="34"/>
      <c r="O937" s="34"/>
      <c r="P937" s="34"/>
      <c r="Q937" s="34"/>
      <c r="R937" s="34"/>
      <c r="S937" s="34"/>
      <c r="T937" s="34"/>
      <c r="U937" s="34"/>
      <c r="V937" s="182"/>
      <c r="W937" s="35"/>
    </row>
    <row r="938" spans="1:23">
      <c r="A938" s="41" t="s">
        <v>1003</v>
      </c>
      <c r="B938" s="100"/>
      <c r="C938" s="100"/>
      <c r="D938" s="100"/>
      <c r="E938" s="100"/>
      <c r="F938" s="100"/>
      <c r="G938" s="100"/>
      <c r="H938" s="100"/>
      <c r="I938" s="100"/>
      <c r="J938" s="100"/>
      <c r="K938" s="100"/>
      <c r="L938" s="100"/>
      <c r="M938" s="100"/>
      <c r="N938" s="100"/>
      <c r="O938" s="100"/>
      <c r="P938" s="100"/>
      <c r="Q938" s="100"/>
      <c r="R938" s="100"/>
      <c r="S938" s="100"/>
      <c r="T938" s="100"/>
      <c r="U938" s="100"/>
      <c r="V938" s="179"/>
      <c r="W938" s="140"/>
    </row>
    <row r="939" spans="1:23">
      <c r="A939" s="200" t="s">
        <v>679</v>
      </c>
      <c r="B939" s="52">
        <f t="shared" ref="B939:U939" si="1896">B85</f>
        <v>6.7499999999999999E-3</v>
      </c>
      <c r="C939" s="52">
        <f t="shared" si="1896"/>
        <v>0</v>
      </c>
      <c r="D939" s="52">
        <f t="shared" si="1896"/>
        <v>0</v>
      </c>
      <c r="E939" s="52">
        <f t="shared" si="1896"/>
        <v>6.7499999999999999E-3</v>
      </c>
      <c r="F939" s="52">
        <f t="shared" si="1896"/>
        <v>0</v>
      </c>
      <c r="G939" s="52">
        <f t="shared" si="1896"/>
        <v>0</v>
      </c>
      <c r="H939" s="52">
        <f t="shared" si="1896"/>
        <v>6.7499999999999999E-3</v>
      </c>
      <c r="I939" s="52">
        <f t="shared" si="1896"/>
        <v>0</v>
      </c>
      <c r="J939" s="52">
        <f t="shared" si="1896"/>
        <v>0</v>
      </c>
      <c r="K939" s="52">
        <f t="shared" si="1896"/>
        <v>6.7499999999999999E-3</v>
      </c>
      <c r="L939" s="52">
        <f t="shared" si="1896"/>
        <v>0</v>
      </c>
      <c r="M939" s="52">
        <f t="shared" si="1896"/>
        <v>0</v>
      </c>
      <c r="N939" s="52">
        <f t="shared" si="1896"/>
        <v>6.7499999999999999E-3</v>
      </c>
      <c r="O939" s="52">
        <f t="shared" si="1896"/>
        <v>0</v>
      </c>
      <c r="P939" s="52">
        <f t="shared" si="1896"/>
        <v>0</v>
      </c>
      <c r="Q939" s="52">
        <f t="shared" si="1896"/>
        <v>6.7499999999999999E-3</v>
      </c>
      <c r="R939" s="52">
        <f t="shared" si="1896"/>
        <v>0</v>
      </c>
      <c r="S939" s="52">
        <f t="shared" si="1896"/>
        <v>0</v>
      </c>
      <c r="T939" s="52">
        <f t="shared" si="1896"/>
        <v>6.7499999999999999E-3</v>
      </c>
      <c r="U939" s="52">
        <f t="shared" si="1896"/>
        <v>0</v>
      </c>
      <c r="V939" s="180">
        <f>SUM(B939:U939)</f>
        <v>4.725E-2</v>
      </c>
      <c r="W939" s="53">
        <f>V939/20</f>
        <v>2.3625E-3</v>
      </c>
    </row>
    <row r="940" spans="1:23" s="3" customFormat="1">
      <c r="A940" s="200" t="s">
        <v>680</v>
      </c>
      <c r="B940" s="52">
        <f>('Scenario 2 Assumptions'!$B$279*('Scenario 2 Assumptions'!$B$306*0.5)/20)+B96+B118</f>
        <v>4.346875E-2</v>
      </c>
      <c r="C940" s="52">
        <f>('Scenario 2 Assumptions'!$B$279*('Scenario 2 Assumptions'!$B$306*0.5)/20)+C96+C118</f>
        <v>4.346875E-2</v>
      </c>
      <c r="D940" s="52">
        <f>('Scenario 2 Assumptions'!$B$279*('Scenario 2 Assumptions'!$B$306*0.5)/20)+D96+D118</f>
        <v>4.346875E-2</v>
      </c>
      <c r="E940" s="52">
        <f>('Scenario 2 Assumptions'!$B$279*('Scenario 2 Assumptions'!$B$306*0.5)/20)+E96+E118</f>
        <v>4.346875E-2</v>
      </c>
      <c r="F940" s="52">
        <f>('Scenario 2 Assumptions'!$B$279*('Scenario 2 Assumptions'!$B$306*0.5)/20)+F96+F118</f>
        <v>4.346875E-2</v>
      </c>
      <c r="G940" s="52">
        <f>('Scenario 2 Assumptions'!$B$279*('Scenario 2 Assumptions'!$B$306*0.5)/20)+G96+G118</f>
        <v>4.346875E-2</v>
      </c>
      <c r="H940" s="52">
        <f>('Scenario 2 Assumptions'!$B$279*('Scenario 2 Assumptions'!$B$306*0.5)/20)+H96+H118</f>
        <v>4.346875E-2</v>
      </c>
      <c r="I940" s="52">
        <f>('Scenario 2 Assumptions'!$B$279*('Scenario 2 Assumptions'!$B$306*0.5)/20)+I96+I118</f>
        <v>4.346875E-2</v>
      </c>
      <c r="J940" s="52">
        <f>('Scenario 2 Assumptions'!$B$279*('Scenario 2 Assumptions'!$B$306*0.5)/20)+J96+J118</f>
        <v>4.346875E-2</v>
      </c>
      <c r="K940" s="52">
        <f>('Scenario 2 Assumptions'!$B$279*('Scenario 2 Assumptions'!$B$306*0.5)/20)+K96+K118</f>
        <v>4.346875E-2</v>
      </c>
      <c r="L940" s="52">
        <f>('Scenario 2 Assumptions'!$B$279*('Scenario 2 Assumptions'!$B$306*0.5)/20)+L96+L118</f>
        <v>4.346875E-2</v>
      </c>
      <c r="M940" s="52">
        <f>('Scenario 2 Assumptions'!$B$279*('Scenario 2 Assumptions'!$B$306*0.5)/20)+M96+M118</f>
        <v>4.346875E-2</v>
      </c>
      <c r="N940" s="52">
        <f>('Scenario 2 Assumptions'!$B$279*('Scenario 2 Assumptions'!$B$306*0.5)/20)+N96+N118</f>
        <v>4.346875E-2</v>
      </c>
      <c r="O940" s="52">
        <f>('Scenario 2 Assumptions'!$B$279*('Scenario 2 Assumptions'!$B$306*0.5)/20)+O96+O118</f>
        <v>4.346875E-2</v>
      </c>
      <c r="P940" s="52">
        <f>('Scenario 2 Assumptions'!$B$279*('Scenario 2 Assumptions'!$B$306*0.5)/20)+P96+P118</f>
        <v>4.346875E-2</v>
      </c>
      <c r="Q940" s="52">
        <f>('Scenario 2 Assumptions'!$B$279*('Scenario 2 Assumptions'!$B$306*0.5)/20)+Q96+Q118</f>
        <v>4.346875E-2</v>
      </c>
      <c r="R940" s="52">
        <f>('Scenario 2 Assumptions'!$B$279*('Scenario 2 Assumptions'!$B$306*0.5)/20)+R96+R118</f>
        <v>4.346875E-2</v>
      </c>
      <c r="S940" s="52">
        <f>('Scenario 2 Assumptions'!$B$279*('Scenario 2 Assumptions'!$B$306*0.5)/20)+S96+S118</f>
        <v>4.346875E-2</v>
      </c>
      <c r="T940" s="52">
        <f>('Scenario 2 Assumptions'!$B$279*('Scenario 2 Assumptions'!$B$306*0.5)/20)+T96+T118</f>
        <v>4.346875E-2</v>
      </c>
      <c r="U940" s="52">
        <f>('Scenario 2 Assumptions'!$B$279*('Scenario 2 Assumptions'!$B$306*0.5)/20)+U96+U118</f>
        <v>4.346875E-2</v>
      </c>
      <c r="V940" s="180">
        <f t="shared" ref="V940:V941" si="1897">SUM(B940:U940)</f>
        <v>0.86937499999999956</v>
      </c>
      <c r="W940" s="53">
        <f t="shared" ref="W940:W941" si="1898">V940/20</f>
        <v>4.346874999999998E-2</v>
      </c>
    </row>
    <row r="941" spans="1:23" ht="13.5" customHeight="1">
      <c r="A941" s="49" t="s">
        <v>664</v>
      </c>
      <c r="B941" s="34">
        <f>SUM(B939:B940)</f>
        <v>5.021875E-2</v>
      </c>
      <c r="C941" s="34">
        <f t="shared" ref="C941" si="1899">SUM(C939:C940)</f>
        <v>4.346875E-2</v>
      </c>
      <c r="D941" s="34">
        <f t="shared" ref="D941" si="1900">SUM(D939:D940)</f>
        <v>4.346875E-2</v>
      </c>
      <c r="E941" s="34">
        <f t="shared" ref="E941" si="1901">SUM(E939:E940)</f>
        <v>5.021875E-2</v>
      </c>
      <c r="F941" s="34">
        <f t="shared" ref="F941" si="1902">SUM(F939:F940)</f>
        <v>4.346875E-2</v>
      </c>
      <c r="G941" s="34">
        <f t="shared" ref="G941" si="1903">SUM(G939:G940)</f>
        <v>4.346875E-2</v>
      </c>
      <c r="H941" s="34">
        <f t="shared" ref="H941" si="1904">SUM(H939:H940)</f>
        <v>5.021875E-2</v>
      </c>
      <c r="I941" s="34">
        <f t="shared" ref="I941" si="1905">SUM(I939:I940)</f>
        <v>4.346875E-2</v>
      </c>
      <c r="J941" s="34">
        <f t="shared" ref="J941" si="1906">SUM(J939:J940)</f>
        <v>4.346875E-2</v>
      </c>
      <c r="K941" s="34">
        <f t="shared" ref="K941" si="1907">SUM(K939:K940)</f>
        <v>5.021875E-2</v>
      </c>
      <c r="L941" s="34">
        <f t="shared" ref="L941" si="1908">SUM(L939:L940)</f>
        <v>4.346875E-2</v>
      </c>
      <c r="M941" s="34">
        <f t="shared" ref="M941" si="1909">SUM(M939:M940)</f>
        <v>4.346875E-2</v>
      </c>
      <c r="N941" s="34">
        <f t="shared" ref="N941" si="1910">SUM(N939:N940)</f>
        <v>5.021875E-2</v>
      </c>
      <c r="O941" s="34">
        <f t="shared" ref="O941" si="1911">SUM(O939:O940)</f>
        <v>4.346875E-2</v>
      </c>
      <c r="P941" s="34">
        <f t="shared" ref="P941" si="1912">SUM(P939:P940)</f>
        <v>4.346875E-2</v>
      </c>
      <c r="Q941" s="34">
        <f t="shared" ref="Q941" si="1913">SUM(Q939:Q940)</f>
        <v>5.021875E-2</v>
      </c>
      <c r="R941" s="34">
        <f t="shared" ref="R941" si="1914">SUM(R939:R940)</f>
        <v>4.346875E-2</v>
      </c>
      <c r="S941" s="34">
        <f t="shared" ref="S941" si="1915">SUM(S939:S940)</f>
        <v>4.346875E-2</v>
      </c>
      <c r="T941" s="34">
        <f t="shared" ref="T941" si="1916">SUM(T939:T940)</f>
        <v>5.021875E-2</v>
      </c>
      <c r="U941" s="34">
        <f t="shared" ref="U941" si="1917">SUM(U939:U940)</f>
        <v>4.346875E-2</v>
      </c>
      <c r="V941" s="180">
        <f t="shared" si="1897"/>
        <v>0.91662499999999958</v>
      </c>
      <c r="W941" s="53">
        <f t="shared" si="1898"/>
        <v>4.5831249999999976E-2</v>
      </c>
    </row>
    <row r="942" spans="1:23" s="81" customFormat="1">
      <c r="A942" s="134" t="s">
        <v>123</v>
      </c>
      <c r="B942" s="52">
        <v>0.96618357487922713</v>
      </c>
      <c r="C942" s="52">
        <v>0.93351070036640305</v>
      </c>
      <c r="D942" s="52">
        <v>0.90194270566802237</v>
      </c>
      <c r="E942" s="52">
        <v>0.87144222769857238</v>
      </c>
      <c r="F942" s="52">
        <v>0.84197316685852419</v>
      </c>
      <c r="G942" s="52">
        <v>0.81350064430775282</v>
      </c>
      <c r="H942" s="52">
        <v>0.78599096068381913</v>
      </c>
      <c r="I942" s="52">
        <v>0.75941155621625056</v>
      </c>
      <c r="J942" s="52">
        <v>0.73373097218961414</v>
      </c>
      <c r="K942" s="52">
        <v>0.70891881370977217</v>
      </c>
      <c r="L942" s="52">
        <v>0.68494571372924851</v>
      </c>
      <c r="M942" s="52">
        <v>0.66178329828912896</v>
      </c>
      <c r="N942" s="52">
        <v>0.63940415293635666</v>
      </c>
      <c r="O942" s="52">
        <v>0.61778179027667302</v>
      </c>
      <c r="P942" s="52">
        <v>0.59689061862480497</v>
      </c>
      <c r="Q942" s="52">
        <v>0.57670591171478747</v>
      </c>
      <c r="R942" s="52">
        <v>0.55720377943457733</v>
      </c>
      <c r="S942" s="52">
        <v>0.53836113955031628</v>
      </c>
      <c r="T942" s="52">
        <v>0.52015569038677911</v>
      </c>
      <c r="U942" s="52">
        <v>0.50256588443167061</v>
      </c>
      <c r="V942" s="180"/>
      <c r="W942" s="133"/>
    </row>
    <row r="943" spans="1:23" s="81" customFormat="1">
      <c r="A943" s="50" t="s">
        <v>1069</v>
      </c>
      <c r="B943" s="34">
        <f t="shared" ref="B943:U943" si="1918">B942*B941</f>
        <v>4.8520531400966189E-2</v>
      </c>
      <c r="C943" s="34">
        <f t="shared" si="1918"/>
        <v>4.057854325655208E-2</v>
      </c>
      <c r="D943" s="34">
        <f t="shared" si="1918"/>
        <v>3.9206321987006847E-2</v>
      </c>
      <c r="E943" s="34">
        <f t="shared" si="1918"/>
        <v>4.376273937223768E-2</v>
      </c>
      <c r="F943" s="34">
        <f t="shared" si="1918"/>
        <v>3.6599521096881471E-2</v>
      </c>
      <c r="G943" s="34">
        <f t="shared" si="1918"/>
        <v>3.536185613225263E-2</v>
      </c>
      <c r="H943" s="34">
        <f t="shared" si="1918"/>
        <v>3.9471483556840541E-2</v>
      </c>
      <c r="I943" s="34">
        <f t="shared" si="1918"/>
        <v>3.3010671084275141E-2</v>
      </c>
      <c r="J943" s="34">
        <f t="shared" si="1918"/>
        <v>3.1894368197367289E-2</v>
      </c>
      <c r="K943" s="34">
        <f t="shared" si="1918"/>
        <v>3.5601016675987619E-2</v>
      </c>
      <c r="L943" s="34">
        <f t="shared" si="1918"/>
        <v>2.9773733993668273E-2</v>
      </c>
      <c r="M943" s="34">
        <f t="shared" si="1918"/>
        <v>2.8766892747505574E-2</v>
      </c>
      <c r="N943" s="34">
        <f t="shared" si="1918"/>
        <v>3.2110077305272662E-2</v>
      </c>
      <c r="O943" s="34">
        <f t="shared" si="1918"/>
        <v>2.6854202196089132E-2</v>
      </c>
      <c r="P943" s="34">
        <f t="shared" si="1918"/>
        <v>2.5946089078346991E-2</v>
      </c>
      <c r="Q943" s="34">
        <f t="shared" si="1918"/>
        <v>2.8961450003926983E-2</v>
      </c>
      <c r="R943" s="34">
        <f t="shared" si="1918"/>
        <v>2.4220951787296784E-2</v>
      </c>
      <c r="S943" s="34">
        <f t="shared" si="1918"/>
        <v>2.3401885784827811E-2</v>
      </c>
      <c r="T943" s="34">
        <f t="shared" si="1918"/>
        <v>2.6121568576611062E-2</v>
      </c>
      <c r="U943" s="34">
        <f t="shared" si="1918"/>
        <v>2.1845910788889183E-2</v>
      </c>
      <c r="V943" s="182">
        <f>SUM(B943:U943)</f>
        <v>0.65200981502280198</v>
      </c>
      <c r="W943" s="35"/>
    </row>
    <row r="944" spans="1:23">
      <c r="A944" s="49"/>
      <c r="B944" s="34"/>
      <c r="C944" s="34"/>
      <c r="D944" s="34"/>
      <c r="E944" s="34"/>
      <c r="F944" s="34"/>
      <c r="G944" s="34"/>
      <c r="H944" s="34"/>
      <c r="I944" s="34"/>
      <c r="J944" s="34"/>
      <c r="K944" s="34"/>
      <c r="L944" s="34"/>
      <c r="M944" s="34"/>
      <c r="N944" s="34"/>
      <c r="O944" s="34"/>
      <c r="P944" s="34"/>
      <c r="Q944" s="34"/>
      <c r="R944" s="34"/>
      <c r="S944" s="34"/>
      <c r="T944" s="34"/>
      <c r="U944" s="34"/>
      <c r="V944" s="182"/>
      <c r="W944" s="35"/>
    </row>
    <row r="945" spans="1:23">
      <c r="A945" s="41" t="s">
        <v>1004</v>
      </c>
      <c r="B945" s="100"/>
      <c r="C945" s="100"/>
      <c r="D945" s="100"/>
      <c r="E945" s="100"/>
      <c r="F945" s="100"/>
      <c r="G945" s="100"/>
      <c r="H945" s="100"/>
      <c r="I945" s="100"/>
      <c r="J945" s="100"/>
      <c r="K945" s="100"/>
      <c r="L945" s="100"/>
      <c r="M945" s="100"/>
      <c r="N945" s="100"/>
      <c r="O945" s="100"/>
      <c r="P945" s="100"/>
      <c r="Q945" s="100"/>
      <c r="R945" s="100"/>
      <c r="S945" s="100"/>
      <c r="T945" s="100"/>
      <c r="U945" s="100"/>
      <c r="V945" s="179"/>
      <c r="W945" s="140"/>
    </row>
    <row r="946" spans="1:23">
      <c r="A946" s="200" t="s">
        <v>679</v>
      </c>
      <c r="B946" s="52">
        <f t="shared" ref="B946:U946" si="1919">B86</f>
        <v>1.35E-2</v>
      </c>
      <c r="C946" s="52">
        <f t="shared" si="1919"/>
        <v>0</v>
      </c>
      <c r="D946" s="52">
        <f t="shared" si="1919"/>
        <v>0</v>
      </c>
      <c r="E946" s="52">
        <f t="shared" si="1919"/>
        <v>1.35E-2</v>
      </c>
      <c r="F946" s="52">
        <f t="shared" si="1919"/>
        <v>0</v>
      </c>
      <c r="G946" s="52">
        <f t="shared" si="1919"/>
        <v>0</v>
      </c>
      <c r="H946" s="52">
        <f t="shared" si="1919"/>
        <v>1.35E-2</v>
      </c>
      <c r="I946" s="52">
        <f t="shared" si="1919"/>
        <v>0</v>
      </c>
      <c r="J946" s="52">
        <f t="shared" si="1919"/>
        <v>0</v>
      </c>
      <c r="K946" s="52">
        <f t="shared" si="1919"/>
        <v>1.35E-2</v>
      </c>
      <c r="L946" s="52">
        <f t="shared" si="1919"/>
        <v>0</v>
      </c>
      <c r="M946" s="52">
        <f t="shared" si="1919"/>
        <v>0</v>
      </c>
      <c r="N946" s="52">
        <f t="shared" si="1919"/>
        <v>1.35E-2</v>
      </c>
      <c r="O946" s="52">
        <f t="shared" si="1919"/>
        <v>0</v>
      </c>
      <c r="P946" s="52">
        <f t="shared" si="1919"/>
        <v>0</v>
      </c>
      <c r="Q946" s="52">
        <f t="shared" si="1919"/>
        <v>1.35E-2</v>
      </c>
      <c r="R946" s="52">
        <f t="shared" si="1919"/>
        <v>0</v>
      </c>
      <c r="S946" s="52">
        <f t="shared" si="1919"/>
        <v>0</v>
      </c>
      <c r="T946" s="52">
        <f t="shared" si="1919"/>
        <v>1.35E-2</v>
      </c>
      <c r="U946" s="52">
        <f t="shared" si="1919"/>
        <v>0</v>
      </c>
      <c r="V946" s="180">
        <f>SUM(B946:U946)</f>
        <v>9.4500000000000001E-2</v>
      </c>
      <c r="W946" s="53">
        <f>V946/20</f>
        <v>4.725E-3</v>
      </c>
    </row>
    <row r="947" spans="1:23" s="3" customFormat="1">
      <c r="A947" s="200" t="s">
        <v>680</v>
      </c>
      <c r="B947" s="52">
        <f>('Scenario 2 Assumptions'!$B$279*('Scenario 2 Assumptions'!$B$307*0.5)/20)+B97</f>
        <v>9.9562499999999998E-3</v>
      </c>
      <c r="C947" s="52">
        <f>('Scenario 2 Assumptions'!$B$279*('Scenario 2 Assumptions'!$B$307*0.5)/20)+C97</f>
        <v>9.9562499999999998E-3</v>
      </c>
      <c r="D947" s="52">
        <f>('Scenario 2 Assumptions'!$B$279*('Scenario 2 Assumptions'!$B$307*0.5)/20)+D97</f>
        <v>9.9562499999999998E-3</v>
      </c>
      <c r="E947" s="52">
        <f>('Scenario 2 Assumptions'!$B$279*('Scenario 2 Assumptions'!$B$307*0.5)/20)+E97</f>
        <v>9.9562499999999998E-3</v>
      </c>
      <c r="F947" s="52">
        <f>('Scenario 2 Assumptions'!$B$279*('Scenario 2 Assumptions'!$B$307*0.5)/20)+F97</f>
        <v>9.9562499999999998E-3</v>
      </c>
      <c r="G947" s="52">
        <f>('Scenario 2 Assumptions'!$B$279*('Scenario 2 Assumptions'!$B$307*0.5)/20)+G97</f>
        <v>9.9562499999999998E-3</v>
      </c>
      <c r="H947" s="52">
        <f>('Scenario 2 Assumptions'!$B$279*('Scenario 2 Assumptions'!$B$307*0.5)/20)+H97</f>
        <v>9.9562499999999998E-3</v>
      </c>
      <c r="I947" s="52">
        <f>('Scenario 2 Assumptions'!$B$279*('Scenario 2 Assumptions'!$B$307*0.5)/20)+I97</f>
        <v>9.9562499999999998E-3</v>
      </c>
      <c r="J947" s="52">
        <f>('Scenario 2 Assumptions'!$B$279*('Scenario 2 Assumptions'!$B$307*0.5)/20)+J97</f>
        <v>9.9562499999999998E-3</v>
      </c>
      <c r="K947" s="52">
        <f>('Scenario 2 Assumptions'!$B$279*('Scenario 2 Assumptions'!$B$307*0.5)/20)+K97</f>
        <v>9.9562499999999998E-3</v>
      </c>
      <c r="L947" s="52">
        <f>('Scenario 2 Assumptions'!$B$279*('Scenario 2 Assumptions'!$B$307*0.5)/20)+L97</f>
        <v>9.9562499999999998E-3</v>
      </c>
      <c r="M947" s="52">
        <f>('Scenario 2 Assumptions'!$B$279*('Scenario 2 Assumptions'!$B$307*0.5)/20)+M97</f>
        <v>9.9562499999999998E-3</v>
      </c>
      <c r="N947" s="52">
        <f>('Scenario 2 Assumptions'!$B$279*('Scenario 2 Assumptions'!$B$307*0.5)/20)+N97</f>
        <v>9.9562499999999998E-3</v>
      </c>
      <c r="O947" s="52">
        <f>('Scenario 2 Assumptions'!$B$279*('Scenario 2 Assumptions'!$B$307*0.5)/20)+O97</f>
        <v>9.9562499999999998E-3</v>
      </c>
      <c r="P947" s="52">
        <f>('Scenario 2 Assumptions'!$B$279*('Scenario 2 Assumptions'!$B$307*0.5)/20)+P97</f>
        <v>9.9562499999999998E-3</v>
      </c>
      <c r="Q947" s="52">
        <f>('Scenario 2 Assumptions'!$B$279*('Scenario 2 Assumptions'!$B$307*0.5)/20)+Q97</f>
        <v>9.9562499999999998E-3</v>
      </c>
      <c r="R947" s="52">
        <f>('Scenario 2 Assumptions'!$B$279*('Scenario 2 Assumptions'!$B$307*0.5)/20)+R97</f>
        <v>9.9562499999999998E-3</v>
      </c>
      <c r="S947" s="52">
        <f>('Scenario 2 Assumptions'!$B$279*('Scenario 2 Assumptions'!$B$307*0.5)/20)+S97</f>
        <v>9.9562499999999998E-3</v>
      </c>
      <c r="T947" s="52">
        <f>('Scenario 2 Assumptions'!$B$279*('Scenario 2 Assumptions'!$B$307*0.5)/20)+T97</f>
        <v>9.9562499999999998E-3</v>
      </c>
      <c r="U947" s="52">
        <f>('Scenario 2 Assumptions'!$B$279*('Scenario 2 Assumptions'!$B$307*0.5)/20)+U97</f>
        <v>9.9562499999999998E-3</v>
      </c>
      <c r="V947" s="180">
        <f t="shared" ref="V947:V948" si="1920">SUM(B947:U947)</f>
        <v>0.199125</v>
      </c>
      <c r="W947" s="53">
        <f t="shared" ref="W947:W948" si="1921">V947/20</f>
        <v>9.9562499999999998E-3</v>
      </c>
    </row>
    <row r="948" spans="1:23" ht="13.5" customHeight="1">
      <c r="A948" s="49" t="s">
        <v>664</v>
      </c>
      <c r="B948" s="34">
        <f>SUM(B946:B947)</f>
        <v>2.3456249999999998E-2</v>
      </c>
      <c r="C948" s="34">
        <f t="shared" ref="C948" si="1922">SUM(C946:C947)</f>
        <v>9.9562499999999998E-3</v>
      </c>
      <c r="D948" s="34">
        <f t="shared" ref="D948" si="1923">SUM(D946:D947)</f>
        <v>9.9562499999999998E-3</v>
      </c>
      <c r="E948" s="34">
        <f t="shared" ref="E948" si="1924">SUM(E946:E947)</f>
        <v>2.3456249999999998E-2</v>
      </c>
      <c r="F948" s="34">
        <f t="shared" ref="F948" si="1925">SUM(F946:F947)</f>
        <v>9.9562499999999998E-3</v>
      </c>
      <c r="G948" s="34">
        <f t="shared" ref="G948" si="1926">SUM(G946:G947)</f>
        <v>9.9562499999999998E-3</v>
      </c>
      <c r="H948" s="34">
        <f t="shared" ref="H948" si="1927">SUM(H946:H947)</f>
        <v>2.3456249999999998E-2</v>
      </c>
      <c r="I948" s="34">
        <f t="shared" ref="I948" si="1928">SUM(I946:I947)</f>
        <v>9.9562499999999998E-3</v>
      </c>
      <c r="J948" s="34">
        <f t="shared" ref="J948" si="1929">SUM(J946:J947)</f>
        <v>9.9562499999999998E-3</v>
      </c>
      <c r="K948" s="34">
        <f t="shared" ref="K948" si="1930">SUM(K946:K947)</f>
        <v>2.3456249999999998E-2</v>
      </c>
      <c r="L948" s="34">
        <f t="shared" ref="L948" si="1931">SUM(L946:L947)</f>
        <v>9.9562499999999998E-3</v>
      </c>
      <c r="M948" s="34">
        <f t="shared" ref="M948" si="1932">SUM(M946:M947)</f>
        <v>9.9562499999999998E-3</v>
      </c>
      <c r="N948" s="34">
        <f t="shared" ref="N948" si="1933">SUM(N946:N947)</f>
        <v>2.3456249999999998E-2</v>
      </c>
      <c r="O948" s="34">
        <f t="shared" ref="O948" si="1934">SUM(O946:O947)</f>
        <v>9.9562499999999998E-3</v>
      </c>
      <c r="P948" s="34">
        <f t="shared" ref="P948" si="1935">SUM(P946:P947)</f>
        <v>9.9562499999999998E-3</v>
      </c>
      <c r="Q948" s="34">
        <f t="shared" ref="Q948" si="1936">SUM(Q946:Q947)</f>
        <v>2.3456249999999998E-2</v>
      </c>
      <c r="R948" s="34">
        <f t="shared" ref="R948" si="1937">SUM(R946:R947)</f>
        <v>9.9562499999999998E-3</v>
      </c>
      <c r="S948" s="34">
        <f t="shared" ref="S948" si="1938">SUM(S946:S947)</f>
        <v>9.9562499999999998E-3</v>
      </c>
      <c r="T948" s="34">
        <f t="shared" ref="T948" si="1939">SUM(T946:T947)</f>
        <v>2.3456249999999998E-2</v>
      </c>
      <c r="U948" s="34">
        <f t="shared" ref="U948" si="1940">SUM(U946:U947)</f>
        <v>9.9562499999999998E-3</v>
      </c>
      <c r="V948" s="180">
        <f t="shared" si="1920"/>
        <v>0.29362500000000002</v>
      </c>
      <c r="W948" s="53">
        <f t="shared" si="1921"/>
        <v>1.4681250000000002E-2</v>
      </c>
    </row>
    <row r="949" spans="1:23" s="81" customFormat="1">
      <c r="A949" s="134" t="s">
        <v>123</v>
      </c>
      <c r="B949" s="52">
        <v>0.96618357487922713</v>
      </c>
      <c r="C949" s="52">
        <v>0.93351070036640305</v>
      </c>
      <c r="D949" s="52">
        <v>0.90194270566802237</v>
      </c>
      <c r="E949" s="52">
        <v>0.87144222769857238</v>
      </c>
      <c r="F949" s="52">
        <v>0.84197316685852419</v>
      </c>
      <c r="G949" s="52">
        <v>0.81350064430775282</v>
      </c>
      <c r="H949" s="52">
        <v>0.78599096068381913</v>
      </c>
      <c r="I949" s="52">
        <v>0.75941155621625056</v>
      </c>
      <c r="J949" s="52">
        <v>0.73373097218961414</v>
      </c>
      <c r="K949" s="52">
        <v>0.70891881370977217</v>
      </c>
      <c r="L949" s="52">
        <v>0.68494571372924851</v>
      </c>
      <c r="M949" s="52">
        <v>0.66178329828912896</v>
      </c>
      <c r="N949" s="52">
        <v>0.63940415293635666</v>
      </c>
      <c r="O949" s="52">
        <v>0.61778179027667302</v>
      </c>
      <c r="P949" s="52">
        <v>0.59689061862480497</v>
      </c>
      <c r="Q949" s="52">
        <v>0.57670591171478747</v>
      </c>
      <c r="R949" s="52">
        <v>0.55720377943457733</v>
      </c>
      <c r="S949" s="52">
        <v>0.53836113955031628</v>
      </c>
      <c r="T949" s="52">
        <v>0.52015569038677911</v>
      </c>
      <c r="U949" s="52">
        <v>0.50256588443167061</v>
      </c>
      <c r="V949" s="180"/>
      <c r="W949" s="133"/>
    </row>
    <row r="950" spans="1:23" s="81" customFormat="1">
      <c r="A950" s="50" t="s">
        <v>1069</v>
      </c>
      <c r="B950" s="34">
        <f t="shared" ref="B950:U950" si="1941">B949*B948</f>
        <v>2.2663043478260869E-2</v>
      </c>
      <c r="C950" s="34">
        <f t="shared" si="1941"/>
        <v>9.2942659105230002E-3</v>
      </c>
      <c r="D950" s="34">
        <f t="shared" si="1941"/>
        <v>8.9799670633072468E-3</v>
      </c>
      <c r="E950" s="34">
        <f t="shared" si="1941"/>
        <v>2.0440766753454638E-2</v>
      </c>
      <c r="F950" s="34">
        <f t="shared" si="1941"/>
        <v>8.3828953425351821E-3</v>
      </c>
      <c r="G950" s="34">
        <f t="shared" si="1941"/>
        <v>8.0994157898890643E-3</v>
      </c>
      <c r="H950" s="34">
        <f t="shared" si="1941"/>
        <v>1.843640047153983E-2</v>
      </c>
      <c r="I950" s="34">
        <f t="shared" si="1941"/>
        <v>7.5608913065780443E-3</v>
      </c>
      <c r="J950" s="34">
        <f t="shared" si="1941"/>
        <v>7.3052089918628459E-3</v>
      </c>
      <c r="K950" s="34">
        <f t="shared" si="1941"/>
        <v>1.6628576924079843E-2</v>
      </c>
      <c r="L950" s="34">
        <f t="shared" si="1941"/>
        <v>6.8194907623168304E-3</v>
      </c>
      <c r="M950" s="34">
        <f t="shared" si="1941"/>
        <v>6.5888799635911398E-3</v>
      </c>
      <c r="N950" s="34">
        <f t="shared" si="1941"/>
        <v>1.4998023662313415E-2</v>
      </c>
      <c r="O950" s="34">
        <f t="shared" si="1941"/>
        <v>6.1507899494421259E-3</v>
      </c>
      <c r="P950" s="34">
        <f t="shared" si="1941"/>
        <v>5.942792221683214E-3</v>
      </c>
      <c r="Q950" s="34">
        <f t="shared" si="1941"/>
        <v>1.3527358041659982E-2</v>
      </c>
      <c r="R950" s="34">
        <f t="shared" si="1941"/>
        <v>5.5476601289955107E-3</v>
      </c>
      <c r="S950" s="34">
        <f t="shared" si="1941"/>
        <v>5.360058095647836E-3</v>
      </c>
      <c r="T950" s="34">
        <f t="shared" si="1941"/>
        <v>1.2200901912634886E-2</v>
      </c>
      <c r="U950" s="34">
        <f t="shared" si="1941"/>
        <v>5.0036715868728206E-3</v>
      </c>
      <c r="V950" s="182">
        <f>SUM(B950:U950)</f>
        <v>0.20993105835718831</v>
      </c>
      <c r="W950" s="35"/>
    </row>
    <row r="951" spans="1:23">
      <c r="A951" s="49"/>
      <c r="B951" s="34"/>
      <c r="C951" s="34"/>
      <c r="D951" s="34"/>
      <c r="E951" s="34"/>
      <c r="F951" s="34"/>
      <c r="G951" s="34"/>
      <c r="H951" s="34"/>
      <c r="I951" s="34"/>
      <c r="J951" s="34"/>
      <c r="K951" s="34"/>
      <c r="L951" s="34"/>
      <c r="M951" s="34"/>
      <c r="N951" s="34"/>
      <c r="O951" s="34"/>
      <c r="P951" s="34"/>
      <c r="Q951" s="34"/>
      <c r="R951" s="34"/>
      <c r="S951" s="34"/>
      <c r="T951" s="34"/>
      <c r="U951" s="34"/>
      <c r="V951" s="182"/>
      <c r="W951" s="35"/>
    </row>
    <row r="952" spans="1:23">
      <c r="A952" s="131" t="s">
        <v>1145</v>
      </c>
      <c r="B952" s="100"/>
      <c r="C952" s="100"/>
      <c r="D952" s="100"/>
      <c r="E952" s="100"/>
      <c r="F952" s="100"/>
      <c r="G952" s="100"/>
      <c r="H952" s="100"/>
      <c r="I952" s="100"/>
      <c r="J952" s="100"/>
      <c r="K952" s="100"/>
      <c r="L952" s="100"/>
      <c r="M952" s="100"/>
      <c r="N952" s="100"/>
      <c r="O952" s="100"/>
      <c r="P952" s="100"/>
      <c r="Q952" s="100"/>
      <c r="R952" s="100"/>
      <c r="S952" s="100"/>
      <c r="T952" s="100"/>
      <c r="U952" s="100"/>
      <c r="V952" s="179"/>
      <c r="W952" s="140"/>
    </row>
    <row r="953" spans="1:23">
      <c r="A953" s="200" t="s">
        <v>679</v>
      </c>
      <c r="B953" s="52">
        <v>0</v>
      </c>
      <c r="C953" s="52">
        <v>0</v>
      </c>
      <c r="D953" s="52">
        <v>0</v>
      </c>
      <c r="E953" s="52">
        <v>0</v>
      </c>
      <c r="F953" s="52">
        <v>0</v>
      </c>
      <c r="G953" s="52">
        <v>0</v>
      </c>
      <c r="H953" s="52">
        <v>0</v>
      </c>
      <c r="I953" s="52">
        <v>0</v>
      </c>
      <c r="J953" s="52">
        <v>0</v>
      </c>
      <c r="K953" s="52">
        <v>0</v>
      </c>
      <c r="L953" s="52">
        <v>0</v>
      </c>
      <c r="M953" s="52">
        <v>0</v>
      </c>
      <c r="N953" s="52">
        <v>0</v>
      </c>
      <c r="O953" s="52">
        <v>0</v>
      </c>
      <c r="P953" s="52">
        <v>0</v>
      </c>
      <c r="Q953" s="52">
        <v>0</v>
      </c>
      <c r="R953" s="52">
        <v>0</v>
      </c>
      <c r="S953" s="52">
        <v>0</v>
      </c>
      <c r="T953" s="52">
        <v>0</v>
      </c>
      <c r="U953" s="52">
        <v>0</v>
      </c>
      <c r="V953" s="180">
        <f>SUM(B953:U953)</f>
        <v>0</v>
      </c>
      <c r="W953" s="53">
        <f>V953/20</f>
        <v>0</v>
      </c>
    </row>
    <row r="954" spans="1:23" s="3" customFormat="1">
      <c r="A954" s="200" t="s">
        <v>680</v>
      </c>
      <c r="B954" s="52">
        <f>('Scenario 2 Assumptions'!$B$279*('Scenario 2 Assumptions'!$B$308*0.5)/20)</f>
        <v>1.6875000000000001E-4</v>
      </c>
      <c r="C954" s="52">
        <f>('Scenario 2 Assumptions'!$B$279*('Scenario 2 Assumptions'!$B$308*0.5)/20)</f>
        <v>1.6875000000000001E-4</v>
      </c>
      <c r="D954" s="52">
        <f>('Scenario 2 Assumptions'!$B$279*('Scenario 2 Assumptions'!$B$308*0.5)/20)</f>
        <v>1.6875000000000001E-4</v>
      </c>
      <c r="E954" s="52">
        <f>('Scenario 2 Assumptions'!$B$279*('Scenario 2 Assumptions'!$B$308*0.5)/20)</f>
        <v>1.6875000000000001E-4</v>
      </c>
      <c r="F954" s="52">
        <f>('Scenario 2 Assumptions'!$B$279*('Scenario 2 Assumptions'!$B$308*0.5)/20)</f>
        <v>1.6875000000000001E-4</v>
      </c>
      <c r="G954" s="52">
        <f>('Scenario 2 Assumptions'!$B$279*('Scenario 2 Assumptions'!$B$308*0.5)/20)</f>
        <v>1.6875000000000001E-4</v>
      </c>
      <c r="H954" s="52">
        <f>('Scenario 2 Assumptions'!$B$279*('Scenario 2 Assumptions'!$B$308*0.5)/20)</f>
        <v>1.6875000000000001E-4</v>
      </c>
      <c r="I954" s="52">
        <f>('Scenario 2 Assumptions'!$B$279*('Scenario 2 Assumptions'!$B$308*0.5)/20)</f>
        <v>1.6875000000000001E-4</v>
      </c>
      <c r="J954" s="52">
        <f>('Scenario 2 Assumptions'!$B$279*('Scenario 2 Assumptions'!$B$308*0.5)/20)</f>
        <v>1.6875000000000001E-4</v>
      </c>
      <c r="K954" s="52">
        <f>('Scenario 2 Assumptions'!$B$279*('Scenario 2 Assumptions'!$B$308*0.5)/20)</f>
        <v>1.6875000000000001E-4</v>
      </c>
      <c r="L954" s="52">
        <f>('Scenario 2 Assumptions'!$B$279*('Scenario 2 Assumptions'!$B$308*0.5)/20)</f>
        <v>1.6875000000000001E-4</v>
      </c>
      <c r="M954" s="52">
        <f>('Scenario 2 Assumptions'!$B$279*('Scenario 2 Assumptions'!$B$308*0.5)/20)</f>
        <v>1.6875000000000001E-4</v>
      </c>
      <c r="N954" s="52">
        <f>('Scenario 2 Assumptions'!$B$279*('Scenario 2 Assumptions'!$B$308*0.5)/20)</f>
        <v>1.6875000000000001E-4</v>
      </c>
      <c r="O954" s="52">
        <f>('Scenario 2 Assumptions'!$B$279*('Scenario 2 Assumptions'!$B$308*0.5)/20)</f>
        <v>1.6875000000000001E-4</v>
      </c>
      <c r="P954" s="52">
        <f>('Scenario 2 Assumptions'!$B$279*('Scenario 2 Assumptions'!$B$308*0.5)/20)</f>
        <v>1.6875000000000001E-4</v>
      </c>
      <c r="Q954" s="52">
        <f>('Scenario 2 Assumptions'!$B$279*('Scenario 2 Assumptions'!$B$308*0.5)/20)</f>
        <v>1.6875000000000001E-4</v>
      </c>
      <c r="R954" s="52">
        <f>('Scenario 2 Assumptions'!$B$279*('Scenario 2 Assumptions'!$B$308*0.5)/20)</f>
        <v>1.6875000000000001E-4</v>
      </c>
      <c r="S954" s="52">
        <f>('Scenario 2 Assumptions'!$B$279*('Scenario 2 Assumptions'!$B$308*0.5)/20)</f>
        <v>1.6875000000000001E-4</v>
      </c>
      <c r="T954" s="52">
        <f>('Scenario 2 Assumptions'!$B$279*('Scenario 2 Assumptions'!$B$308*0.5)/20)</f>
        <v>1.6875000000000001E-4</v>
      </c>
      <c r="U954" s="52">
        <f>('Scenario 2 Assumptions'!$B$279*('Scenario 2 Assumptions'!$B$308*0.5)/20)</f>
        <v>1.6875000000000001E-4</v>
      </c>
      <c r="V954" s="180">
        <f t="shared" ref="V954:V955" si="1942">SUM(B954:U954)</f>
        <v>3.3750000000000008E-3</v>
      </c>
      <c r="W954" s="53">
        <f t="shared" ref="W954:W955" si="1943">V954/20</f>
        <v>1.6875000000000004E-4</v>
      </c>
    </row>
    <row r="955" spans="1:23" ht="13.5" customHeight="1">
      <c r="A955" s="49" t="s">
        <v>664</v>
      </c>
      <c r="B955" s="34">
        <f>SUM(B953:B954)</f>
        <v>1.6875000000000001E-4</v>
      </c>
      <c r="C955" s="34">
        <f t="shared" ref="C955" si="1944">SUM(C953:C954)</f>
        <v>1.6875000000000001E-4</v>
      </c>
      <c r="D955" s="34">
        <f t="shared" ref="D955" si="1945">SUM(D953:D954)</f>
        <v>1.6875000000000001E-4</v>
      </c>
      <c r="E955" s="34">
        <f t="shared" ref="E955" si="1946">SUM(E953:E954)</f>
        <v>1.6875000000000001E-4</v>
      </c>
      <c r="F955" s="34">
        <f t="shared" ref="F955" si="1947">SUM(F953:F954)</f>
        <v>1.6875000000000001E-4</v>
      </c>
      <c r="G955" s="34">
        <f t="shared" ref="G955" si="1948">SUM(G953:G954)</f>
        <v>1.6875000000000001E-4</v>
      </c>
      <c r="H955" s="34">
        <f t="shared" ref="H955" si="1949">SUM(H953:H954)</f>
        <v>1.6875000000000001E-4</v>
      </c>
      <c r="I955" s="34">
        <f t="shared" ref="I955" si="1950">SUM(I953:I954)</f>
        <v>1.6875000000000001E-4</v>
      </c>
      <c r="J955" s="34">
        <f t="shared" ref="J955" si="1951">SUM(J953:J954)</f>
        <v>1.6875000000000001E-4</v>
      </c>
      <c r="K955" s="34">
        <f t="shared" ref="K955" si="1952">SUM(K953:K954)</f>
        <v>1.6875000000000001E-4</v>
      </c>
      <c r="L955" s="34">
        <f t="shared" ref="L955" si="1953">SUM(L953:L954)</f>
        <v>1.6875000000000001E-4</v>
      </c>
      <c r="M955" s="34">
        <f t="shared" ref="M955" si="1954">SUM(M953:M954)</f>
        <v>1.6875000000000001E-4</v>
      </c>
      <c r="N955" s="34">
        <f t="shared" ref="N955" si="1955">SUM(N953:N954)</f>
        <v>1.6875000000000001E-4</v>
      </c>
      <c r="O955" s="34">
        <f t="shared" ref="O955" si="1956">SUM(O953:O954)</f>
        <v>1.6875000000000001E-4</v>
      </c>
      <c r="P955" s="34">
        <f t="shared" ref="P955" si="1957">SUM(P953:P954)</f>
        <v>1.6875000000000001E-4</v>
      </c>
      <c r="Q955" s="34">
        <f t="shared" ref="Q955" si="1958">SUM(Q953:Q954)</f>
        <v>1.6875000000000001E-4</v>
      </c>
      <c r="R955" s="34">
        <f t="shared" ref="R955" si="1959">SUM(R953:R954)</f>
        <v>1.6875000000000001E-4</v>
      </c>
      <c r="S955" s="34">
        <f t="shared" ref="S955" si="1960">SUM(S953:S954)</f>
        <v>1.6875000000000001E-4</v>
      </c>
      <c r="T955" s="34">
        <f t="shared" ref="T955" si="1961">SUM(T953:T954)</f>
        <v>1.6875000000000001E-4</v>
      </c>
      <c r="U955" s="34">
        <f t="shared" ref="U955" si="1962">SUM(U953:U954)</f>
        <v>1.6875000000000001E-4</v>
      </c>
      <c r="V955" s="180">
        <f t="shared" si="1942"/>
        <v>3.3750000000000008E-3</v>
      </c>
      <c r="W955" s="53">
        <f t="shared" si="1943"/>
        <v>1.6875000000000004E-4</v>
      </c>
    </row>
    <row r="956" spans="1:23" s="81" customFormat="1">
      <c r="A956" s="134" t="s">
        <v>123</v>
      </c>
      <c r="B956" s="52">
        <v>0.96618357487922713</v>
      </c>
      <c r="C956" s="52">
        <v>0.93351070036640305</v>
      </c>
      <c r="D956" s="52">
        <v>0.90194270566802237</v>
      </c>
      <c r="E956" s="52">
        <v>0.87144222769857238</v>
      </c>
      <c r="F956" s="52">
        <v>0.84197316685852419</v>
      </c>
      <c r="G956" s="52">
        <v>0.81350064430775282</v>
      </c>
      <c r="H956" s="52">
        <v>0.78599096068381913</v>
      </c>
      <c r="I956" s="52">
        <v>0.75941155621625056</v>
      </c>
      <c r="J956" s="52">
        <v>0.73373097218961414</v>
      </c>
      <c r="K956" s="52">
        <v>0.70891881370977217</v>
      </c>
      <c r="L956" s="52">
        <v>0.68494571372924851</v>
      </c>
      <c r="M956" s="52">
        <v>0.66178329828912896</v>
      </c>
      <c r="N956" s="52">
        <v>0.63940415293635666</v>
      </c>
      <c r="O956" s="52">
        <v>0.61778179027667302</v>
      </c>
      <c r="P956" s="52">
        <v>0.59689061862480497</v>
      </c>
      <c r="Q956" s="52">
        <v>0.57670591171478747</v>
      </c>
      <c r="R956" s="52">
        <v>0.55720377943457733</v>
      </c>
      <c r="S956" s="52">
        <v>0.53836113955031628</v>
      </c>
      <c r="T956" s="52">
        <v>0.52015569038677911</v>
      </c>
      <c r="U956" s="52">
        <v>0.50256588443167061</v>
      </c>
      <c r="V956" s="180"/>
      <c r="W956" s="133"/>
    </row>
    <row r="957" spans="1:23" s="81" customFormat="1">
      <c r="A957" s="50" t="s">
        <v>1069</v>
      </c>
      <c r="B957" s="34">
        <f t="shared" ref="B957:U957" si="1963">B956*B955</f>
        <v>1.6304347826086958E-4</v>
      </c>
      <c r="C957" s="34">
        <f t="shared" si="1963"/>
        <v>1.5752993068683053E-4</v>
      </c>
      <c r="D957" s="34">
        <f t="shared" si="1963"/>
        <v>1.5220283158147877E-4</v>
      </c>
      <c r="E957" s="34">
        <f t="shared" si="1963"/>
        <v>1.4705587592413411E-4</v>
      </c>
      <c r="F957" s="34">
        <f t="shared" si="1963"/>
        <v>1.4208297190737598E-4</v>
      </c>
      <c r="G957" s="34">
        <f t="shared" si="1963"/>
        <v>1.372782337269333E-4</v>
      </c>
      <c r="H957" s="34">
        <f t="shared" si="1963"/>
        <v>1.3263597461539447E-4</v>
      </c>
      <c r="I957" s="34">
        <f t="shared" si="1963"/>
        <v>1.281507001114923E-4</v>
      </c>
      <c r="J957" s="34">
        <f t="shared" si="1963"/>
        <v>1.238171015569974E-4</v>
      </c>
      <c r="K957" s="34">
        <f t="shared" si="1963"/>
        <v>1.1963004981352407E-4</v>
      </c>
      <c r="L957" s="34">
        <f t="shared" si="1963"/>
        <v>1.1558458919181069E-4</v>
      </c>
      <c r="M957" s="34">
        <f t="shared" si="1963"/>
        <v>1.1167593158629052E-4</v>
      </c>
      <c r="N957" s="34">
        <f t="shared" si="1963"/>
        <v>1.0789945080801019E-4</v>
      </c>
      <c r="O957" s="34">
        <f t="shared" si="1963"/>
        <v>1.0425067710918858E-4</v>
      </c>
      <c r="P957" s="34">
        <f t="shared" si="1963"/>
        <v>1.0072529189293584E-4</v>
      </c>
      <c r="Q957" s="34">
        <f t="shared" si="1963"/>
        <v>9.7319122601870396E-5</v>
      </c>
      <c r="R957" s="34">
        <f t="shared" si="1963"/>
        <v>9.402813777958493E-5</v>
      </c>
      <c r="S957" s="34">
        <f t="shared" si="1963"/>
        <v>9.0848442299115879E-5</v>
      </c>
      <c r="T957" s="34">
        <f t="shared" si="1963"/>
        <v>8.7776272752768973E-5</v>
      </c>
      <c r="U957" s="34">
        <f t="shared" si="1963"/>
        <v>8.4807992997844422E-5</v>
      </c>
      <c r="V957" s="182">
        <f>SUM(B957:U957)</f>
        <v>2.3983430572044511E-3</v>
      </c>
      <c r="W957" s="35"/>
    </row>
    <row r="958" spans="1:23">
      <c r="A958" s="49"/>
      <c r="B958" s="34"/>
      <c r="C958" s="34"/>
      <c r="D958" s="34"/>
      <c r="E958" s="34"/>
      <c r="F958" s="34"/>
      <c r="G958" s="34"/>
      <c r="H958" s="34"/>
      <c r="I958" s="34"/>
      <c r="J958" s="34"/>
      <c r="K958" s="34"/>
      <c r="L958" s="34"/>
      <c r="M958" s="34"/>
      <c r="N958" s="34"/>
      <c r="O958" s="34"/>
      <c r="P958" s="34"/>
      <c r="Q958" s="34"/>
      <c r="R958" s="34"/>
      <c r="S958" s="34"/>
      <c r="T958" s="34"/>
      <c r="U958" s="34"/>
      <c r="V958" s="182"/>
      <c r="W958" s="35"/>
    </row>
    <row r="959" spans="1:23">
      <c r="A959" s="131" t="s">
        <v>1071</v>
      </c>
      <c r="B959" s="100"/>
      <c r="C959" s="100"/>
      <c r="D959" s="100"/>
      <c r="E959" s="100"/>
      <c r="F959" s="100"/>
      <c r="G959" s="100"/>
      <c r="H959" s="100"/>
      <c r="I959" s="100"/>
      <c r="J959" s="100"/>
      <c r="K959" s="100"/>
      <c r="L959" s="100"/>
      <c r="M959" s="100"/>
      <c r="N959" s="100"/>
      <c r="O959" s="100"/>
      <c r="P959" s="100"/>
      <c r="Q959" s="100"/>
      <c r="R959" s="100"/>
      <c r="S959" s="100"/>
      <c r="T959" s="100"/>
      <c r="U959" s="100"/>
      <c r="V959" s="179"/>
      <c r="W959" s="140"/>
    </row>
    <row r="960" spans="1:23">
      <c r="A960" s="200" t="s">
        <v>679</v>
      </c>
      <c r="B960" s="52">
        <f t="shared" ref="B960:U960" si="1964">B90</f>
        <v>6.7499999999999999E-3</v>
      </c>
      <c r="C960" s="52">
        <f t="shared" si="1964"/>
        <v>0</v>
      </c>
      <c r="D960" s="52">
        <f t="shared" si="1964"/>
        <v>0</v>
      </c>
      <c r="E960" s="52">
        <f t="shared" si="1964"/>
        <v>6.7499999999999999E-3</v>
      </c>
      <c r="F960" s="52">
        <f t="shared" si="1964"/>
        <v>0</v>
      </c>
      <c r="G960" s="52">
        <f t="shared" si="1964"/>
        <v>0</v>
      </c>
      <c r="H960" s="52">
        <f t="shared" si="1964"/>
        <v>6.7499999999999999E-3</v>
      </c>
      <c r="I960" s="52">
        <f t="shared" si="1964"/>
        <v>0</v>
      </c>
      <c r="J960" s="52">
        <f t="shared" si="1964"/>
        <v>0</v>
      </c>
      <c r="K960" s="52">
        <f t="shared" si="1964"/>
        <v>6.7499999999999999E-3</v>
      </c>
      <c r="L960" s="52">
        <f t="shared" si="1964"/>
        <v>0</v>
      </c>
      <c r="M960" s="52">
        <f t="shared" si="1964"/>
        <v>0</v>
      </c>
      <c r="N960" s="52">
        <f t="shared" si="1964"/>
        <v>6.7499999999999999E-3</v>
      </c>
      <c r="O960" s="52">
        <f t="shared" si="1964"/>
        <v>0</v>
      </c>
      <c r="P960" s="52">
        <f t="shared" si="1964"/>
        <v>0</v>
      </c>
      <c r="Q960" s="52">
        <f t="shared" si="1964"/>
        <v>6.7499999999999999E-3</v>
      </c>
      <c r="R960" s="52">
        <f t="shared" si="1964"/>
        <v>0</v>
      </c>
      <c r="S960" s="52">
        <f t="shared" si="1964"/>
        <v>0</v>
      </c>
      <c r="T960" s="52">
        <f t="shared" si="1964"/>
        <v>6.7499999999999999E-3</v>
      </c>
      <c r="U960" s="52">
        <f t="shared" si="1964"/>
        <v>0</v>
      </c>
      <c r="V960" s="180">
        <f>SUM(B960:U960)</f>
        <v>4.725E-2</v>
      </c>
      <c r="W960" s="53">
        <f>V960/20</f>
        <v>2.3625E-3</v>
      </c>
    </row>
    <row r="961" spans="1:25" s="3" customFormat="1">
      <c r="A961" s="200" t="s">
        <v>680</v>
      </c>
      <c r="B961" s="52">
        <f>('Scenario 2 Assumptions'!$B$279*('Scenario 2 Assumptions'!$B$309*0.5)/20)+B101</f>
        <v>2.1937500000000004E-3</v>
      </c>
      <c r="C961" s="52">
        <f>('Scenario 2 Assumptions'!$B$279*('Scenario 2 Assumptions'!$B$309*0.5)/20)+C101</f>
        <v>2.1937500000000004E-3</v>
      </c>
      <c r="D961" s="52">
        <f>('Scenario 2 Assumptions'!$B$279*('Scenario 2 Assumptions'!$B$309*0.5)/20)+D101</f>
        <v>2.1937500000000004E-3</v>
      </c>
      <c r="E961" s="52">
        <f>('Scenario 2 Assumptions'!$B$279*('Scenario 2 Assumptions'!$B$309*0.5)/20)+E101</f>
        <v>2.1937500000000004E-3</v>
      </c>
      <c r="F961" s="52">
        <f>('Scenario 2 Assumptions'!$B$279*('Scenario 2 Assumptions'!$B$309*0.5)/20)+F101</f>
        <v>2.1937500000000004E-3</v>
      </c>
      <c r="G961" s="52">
        <f>('Scenario 2 Assumptions'!$B$279*('Scenario 2 Assumptions'!$B$309*0.5)/20)+G101</f>
        <v>2.1937500000000004E-3</v>
      </c>
      <c r="H961" s="52">
        <f>('Scenario 2 Assumptions'!$B$279*('Scenario 2 Assumptions'!$B$309*0.5)/20)+H101</f>
        <v>2.1937500000000004E-3</v>
      </c>
      <c r="I961" s="52">
        <f>('Scenario 2 Assumptions'!$B$279*('Scenario 2 Assumptions'!$B$309*0.5)/20)+I101</f>
        <v>2.1937500000000004E-3</v>
      </c>
      <c r="J961" s="52">
        <f>('Scenario 2 Assumptions'!$B$279*('Scenario 2 Assumptions'!$B$309*0.5)/20)+J101</f>
        <v>2.1937500000000004E-3</v>
      </c>
      <c r="K961" s="52">
        <f>('Scenario 2 Assumptions'!$B$279*('Scenario 2 Assumptions'!$B$309*0.5)/20)+K101</f>
        <v>2.1937500000000004E-3</v>
      </c>
      <c r="L961" s="52">
        <f>('Scenario 2 Assumptions'!$B$279*('Scenario 2 Assumptions'!$B$309*0.5)/20)+L101</f>
        <v>2.1937500000000004E-3</v>
      </c>
      <c r="M961" s="52">
        <f>('Scenario 2 Assumptions'!$B$279*('Scenario 2 Assumptions'!$B$309*0.5)/20)+M101</f>
        <v>2.1937500000000004E-3</v>
      </c>
      <c r="N961" s="52">
        <f>('Scenario 2 Assumptions'!$B$279*('Scenario 2 Assumptions'!$B$309*0.5)/20)+N101</f>
        <v>2.1937500000000004E-3</v>
      </c>
      <c r="O961" s="52">
        <f>('Scenario 2 Assumptions'!$B$279*('Scenario 2 Assumptions'!$B$309*0.5)/20)+O101</f>
        <v>2.1937500000000004E-3</v>
      </c>
      <c r="P961" s="52">
        <f>('Scenario 2 Assumptions'!$B$279*('Scenario 2 Assumptions'!$B$309*0.5)/20)+P101</f>
        <v>2.1937500000000004E-3</v>
      </c>
      <c r="Q961" s="52">
        <f>('Scenario 2 Assumptions'!$B$279*('Scenario 2 Assumptions'!$B$309*0.5)/20)+Q101</f>
        <v>2.1937500000000004E-3</v>
      </c>
      <c r="R961" s="52">
        <f>('Scenario 2 Assumptions'!$B$279*('Scenario 2 Assumptions'!$B$309*0.5)/20)+R101</f>
        <v>2.1937500000000004E-3</v>
      </c>
      <c r="S961" s="52">
        <f>('Scenario 2 Assumptions'!$B$279*('Scenario 2 Assumptions'!$B$309*0.5)/20)+S101</f>
        <v>2.1937500000000004E-3</v>
      </c>
      <c r="T961" s="52">
        <f>('Scenario 2 Assumptions'!$B$279*('Scenario 2 Assumptions'!$B$309*0.5)/20)+T101</f>
        <v>2.1937500000000004E-3</v>
      </c>
      <c r="U961" s="52">
        <f>('Scenario 2 Assumptions'!$B$279*('Scenario 2 Assumptions'!$B$309*0.5)/20)+U101</f>
        <v>2.1937500000000004E-3</v>
      </c>
      <c r="V961" s="180">
        <f t="shared" ref="V961:V962" si="1965">SUM(B961:U961)</f>
        <v>4.3875000000000018E-2</v>
      </c>
      <c r="W961" s="53">
        <f t="shared" ref="W961:W962" si="1966">V961/20</f>
        <v>2.1937500000000008E-3</v>
      </c>
    </row>
    <row r="962" spans="1:25" ht="13.5" customHeight="1">
      <c r="A962" s="49" t="s">
        <v>664</v>
      </c>
      <c r="B962" s="34">
        <f>SUM(B960:B961)</f>
        <v>8.9437500000000003E-3</v>
      </c>
      <c r="C962" s="34">
        <f t="shared" ref="C962" si="1967">SUM(C960:C961)</f>
        <v>2.1937500000000004E-3</v>
      </c>
      <c r="D962" s="34">
        <f t="shared" ref="D962" si="1968">SUM(D960:D961)</f>
        <v>2.1937500000000004E-3</v>
      </c>
      <c r="E962" s="34">
        <f t="shared" ref="E962" si="1969">SUM(E960:E961)</f>
        <v>8.9437500000000003E-3</v>
      </c>
      <c r="F962" s="34">
        <f t="shared" ref="F962" si="1970">SUM(F960:F961)</f>
        <v>2.1937500000000004E-3</v>
      </c>
      <c r="G962" s="34">
        <f t="shared" ref="G962" si="1971">SUM(G960:G961)</f>
        <v>2.1937500000000004E-3</v>
      </c>
      <c r="H962" s="34">
        <f t="shared" ref="H962" si="1972">SUM(H960:H961)</f>
        <v>8.9437500000000003E-3</v>
      </c>
      <c r="I962" s="34">
        <f t="shared" ref="I962" si="1973">SUM(I960:I961)</f>
        <v>2.1937500000000004E-3</v>
      </c>
      <c r="J962" s="34">
        <f t="shared" ref="J962" si="1974">SUM(J960:J961)</f>
        <v>2.1937500000000004E-3</v>
      </c>
      <c r="K962" s="34">
        <f t="shared" ref="K962" si="1975">SUM(K960:K961)</f>
        <v>8.9437500000000003E-3</v>
      </c>
      <c r="L962" s="34">
        <f t="shared" ref="L962" si="1976">SUM(L960:L961)</f>
        <v>2.1937500000000004E-3</v>
      </c>
      <c r="M962" s="34">
        <f t="shared" ref="M962" si="1977">SUM(M960:M961)</f>
        <v>2.1937500000000004E-3</v>
      </c>
      <c r="N962" s="34">
        <f t="shared" ref="N962" si="1978">SUM(N960:N961)</f>
        <v>8.9437500000000003E-3</v>
      </c>
      <c r="O962" s="34">
        <f t="shared" ref="O962" si="1979">SUM(O960:O961)</f>
        <v>2.1937500000000004E-3</v>
      </c>
      <c r="P962" s="34">
        <f t="shared" ref="P962" si="1980">SUM(P960:P961)</f>
        <v>2.1937500000000004E-3</v>
      </c>
      <c r="Q962" s="34">
        <f t="shared" ref="Q962" si="1981">SUM(Q960:Q961)</f>
        <v>8.9437500000000003E-3</v>
      </c>
      <c r="R962" s="34">
        <f t="shared" ref="R962" si="1982">SUM(R960:R961)</f>
        <v>2.1937500000000004E-3</v>
      </c>
      <c r="S962" s="34">
        <f t="shared" ref="S962" si="1983">SUM(S960:S961)</f>
        <v>2.1937500000000004E-3</v>
      </c>
      <c r="T962" s="34">
        <f t="shared" ref="T962" si="1984">SUM(T960:T961)</f>
        <v>8.9437500000000003E-3</v>
      </c>
      <c r="U962" s="34">
        <f t="shared" ref="U962" si="1985">SUM(U960:U961)</f>
        <v>2.1937500000000004E-3</v>
      </c>
      <c r="V962" s="180">
        <f t="shared" si="1965"/>
        <v>9.1124999999999984E-2</v>
      </c>
      <c r="W962" s="53">
        <f t="shared" si="1966"/>
        <v>4.5562499999999995E-3</v>
      </c>
    </row>
    <row r="963" spans="1:25" s="81" customFormat="1">
      <c r="A963" s="134" t="s">
        <v>123</v>
      </c>
      <c r="B963" s="52">
        <v>0.96618357487922713</v>
      </c>
      <c r="C963" s="52">
        <v>0.93351070036640305</v>
      </c>
      <c r="D963" s="52">
        <v>0.90194270566802237</v>
      </c>
      <c r="E963" s="52">
        <v>0.87144222769857238</v>
      </c>
      <c r="F963" s="52">
        <v>0.84197316685852419</v>
      </c>
      <c r="G963" s="52">
        <v>0.81350064430775282</v>
      </c>
      <c r="H963" s="52">
        <v>0.78599096068381913</v>
      </c>
      <c r="I963" s="52">
        <v>0.75941155621625056</v>
      </c>
      <c r="J963" s="52">
        <v>0.73373097218961414</v>
      </c>
      <c r="K963" s="52">
        <v>0.70891881370977217</v>
      </c>
      <c r="L963" s="52">
        <v>0.68494571372924851</v>
      </c>
      <c r="M963" s="52">
        <v>0.66178329828912896</v>
      </c>
      <c r="N963" s="52">
        <v>0.63940415293635666</v>
      </c>
      <c r="O963" s="52">
        <v>0.61778179027667302</v>
      </c>
      <c r="P963" s="52">
        <v>0.59689061862480497</v>
      </c>
      <c r="Q963" s="52">
        <v>0.57670591171478747</v>
      </c>
      <c r="R963" s="52">
        <v>0.55720377943457733</v>
      </c>
      <c r="S963" s="52">
        <v>0.53836113955031628</v>
      </c>
      <c r="T963" s="52">
        <v>0.52015569038677911</v>
      </c>
      <c r="U963" s="52">
        <v>0.50256588443167061</v>
      </c>
      <c r="V963" s="180"/>
      <c r="W963" s="133"/>
    </row>
    <row r="964" spans="1:25" s="81" customFormat="1">
      <c r="A964" s="50" t="s">
        <v>1069</v>
      </c>
      <c r="B964" s="34">
        <f t="shared" ref="B964:U964" si="1986">B963*B962</f>
        <v>8.6413043478260881E-3</v>
      </c>
      <c r="C964" s="34">
        <f t="shared" si="1986"/>
        <v>2.0478890989287972E-3</v>
      </c>
      <c r="D964" s="34">
        <f t="shared" si="1986"/>
        <v>1.9786368105592245E-3</v>
      </c>
      <c r="E964" s="34">
        <f t="shared" si="1986"/>
        <v>7.7939614239791073E-3</v>
      </c>
      <c r="F964" s="34">
        <f t="shared" si="1986"/>
        <v>1.8470786347958878E-3</v>
      </c>
      <c r="G964" s="34">
        <f t="shared" si="1986"/>
        <v>1.7846170384501331E-3</v>
      </c>
      <c r="H964" s="34">
        <f t="shared" si="1986"/>
        <v>7.0297066546159076E-3</v>
      </c>
      <c r="I964" s="34">
        <f t="shared" si="1986"/>
        <v>1.6659591014493999E-3</v>
      </c>
      <c r="J964" s="34">
        <f t="shared" si="1986"/>
        <v>1.6096223202409663E-3</v>
      </c>
      <c r="K964" s="34">
        <f t="shared" si="1986"/>
        <v>6.3403926401167749E-3</v>
      </c>
      <c r="L964" s="34">
        <f t="shared" si="1986"/>
        <v>1.5025996594935391E-3</v>
      </c>
      <c r="M964" s="34">
        <f t="shared" si="1986"/>
        <v>1.4517871106217769E-3</v>
      </c>
      <c r="N964" s="34">
        <f t="shared" si="1986"/>
        <v>5.7186708928245403E-3</v>
      </c>
      <c r="O964" s="34">
        <f t="shared" si="1986"/>
        <v>1.3552588024194517E-3</v>
      </c>
      <c r="P964" s="34">
        <f t="shared" si="1986"/>
        <v>1.3094287946081662E-3</v>
      </c>
      <c r="Q964" s="34">
        <f t="shared" si="1986"/>
        <v>5.1579134978991309E-3</v>
      </c>
      <c r="R964" s="34">
        <f t="shared" si="1986"/>
        <v>1.2223657911346042E-3</v>
      </c>
      <c r="S964" s="34">
        <f t="shared" si="1986"/>
        <v>1.1810297498885066E-3</v>
      </c>
      <c r="T964" s="34">
        <f t="shared" si="1986"/>
        <v>4.6521424558967558E-3</v>
      </c>
      <c r="U964" s="34">
        <f t="shared" si="1986"/>
        <v>1.1025039089719777E-3</v>
      </c>
      <c r="V964" s="182">
        <f>SUM(B964:U964)</f>
        <v>6.5392868734720722E-2</v>
      </c>
      <c r="W964" s="35"/>
    </row>
    <row r="965" spans="1:25">
      <c r="A965" s="49"/>
      <c r="B965" s="34"/>
      <c r="C965" s="34"/>
      <c r="D965" s="34"/>
      <c r="E965" s="34"/>
      <c r="F965" s="34"/>
      <c r="G965" s="34"/>
      <c r="H965" s="34"/>
      <c r="I965" s="34"/>
      <c r="J965" s="34"/>
      <c r="K965" s="34"/>
      <c r="L965" s="34"/>
      <c r="M965" s="34"/>
      <c r="N965" s="34"/>
      <c r="O965" s="34"/>
      <c r="P965" s="34"/>
      <c r="Q965" s="34"/>
      <c r="R965" s="34"/>
      <c r="S965" s="34"/>
      <c r="T965" s="34"/>
      <c r="U965" s="34"/>
      <c r="V965" s="182"/>
      <c r="W965" s="35"/>
    </row>
    <row r="966" spans="1:25">
      <c r="A966" s="131" t="s">
        <v>1146</v>
      </c>
      <c r="B966" s="100"/>
      <c r="C966" s="100"/>
      <c r="D966" s="100"/>
      <c r="E966" s="100"/>
      <c r="F966" s="100"/>
      <c r="G966" s="100"/>
      <c r="H966" s="100"/>
      <c r="I966" s="100"/>
      <c r="J966" s="100"/>
      <c r="K966" s="100"/>
      <c r="L966" s="100"/>
      <c r="M966" s="100"/>
      <c r="N966" s="100"/>
      <c r="O966" s="100"/>
      <c r="P966" s="100"/>
      <c r="Q966" s="100"/>
      <c r="R966" s="100"/>
      <c r="S966" s="100"/>
      <c r="T966" s="100"/>
      <c r="U966" s="100"/>
      <c r="V966" s="179"/>
      <c r="W966" s="140"/>
    </row>
    <row r="967" spans="1:25">
      <c r="A967" s="200" t="s">
        <v>679</v>
      </c>
      <c r="B967" s="52">
        <f t="shared" ref="B967:U967" si="1987">B88</f>
        <v>6.7499999999999999E-3</v>
      </c>
      <c r="C967" s="52">
        <f t="shared" si="1987"/>
        <v>0</v>
      </c>
      <c r="D967" s="52">
        <f t="shared" si="1987"/>
        <v>0</v>
      </c>
      <c r="E967" s="52">
        <f t="shared" si="1987"/>
        <v>6.7499999999999999E-3</v>
      </c>
      <c r="F967" s="52">
        <f t="shared" si="1987"/>
        <v>0</v>
      </c>
      <c r="G967" s="52">
        <f t="shared" si="1987"/>
        <v>0</v>
      </c>
      <c r="H967" s="52">
        <f t="shared" si="1987"/>
        <v>6.7499999999999999E-3</v>
      </c>
      <c r="I967" s="52">
        <f t="shared" si="1987"/>
        <v>0</v>
      </c>
      <c r="J967" s="52">
        <f t="shared" si="1987"/>
        <v>0</v>
      </c>
      <c r="K967" s="52">
        <f t="shared" si="1987"/>
        <v>6.7499999999999999E-3</v>
      </c>
      <c r="L967" s="52">
        <f t="shared" si="1987"/>
        <v>0</v>
      </c>
      <c r="M967" s="52">
        <f t="shared" si="1987"/>
        <v>0</v>
      </c>
      <c r="N967" s="52">
        <f t="shared" si="1987"/>
        <v>6.7499999999999999E-3</v>
      </c>
      <c r="O967" s="52">
        <f t="shared" si="1987"/>
        <v>0</v>
      </c>
      <c r="P967" s="52">
        <f t="shared" si="1987"/>
        <v>0</v>
      </c>
      <c r="Q967" s="52">
        <f t="shared" si="1987"/>
        <v>6.7499999999999999E-3</v>
      </c>
      <c r="R967" s="52">
        <f t="shared" si="1987"/>
        <v>0</v>
      </c>
      <c r="S967" s="52">
        <f t="shared" si="1987"/>
        <v>0</v>
      </c>
      <c r="T967" s="52">
        <f t="shared" si="1987"/>
        <v>6.7499999999999999E-3</v>
      </c>
      <c r="U967" s="52">
        <f t="shared" si="1987"/>
        <v>0</v>
      </c>
      <c r="V967" s="180">
        <f>SUM(B967:U967)</f>
        <v>4.725E-2</v>
      </c>
      <c r="W967" s="53">
        <f>V967/20</f>
        <v>2.3625E-3</v>
      </c>
    </row>
    <row r="968" spans="1:25" s="3" customFormat="1">
      <c r="A968" s="200" t="s">
        <v>680</v>
      </c>
      <c r="B968" s="52">
        <f>('Scenario 2 Assumptions'!$B$279*('Scenario 2 Assumptions'!$B$310*0.5)/20)</f>
        <v>3.3750000000000002E-4</v>
      </c>
      <c r="C968" s="52">
        <f>('Scenario 2 Assumptions'!$B$279*('Scenario 2 Assumptions'!$B$310*0.5)/20)</f>
        <v>3.3750000000000002E-4</v>
      </c>
      <c r="D968" s="52">
        <f>('Scenario 2 Assumptions'!$B$279*('Scenario 2 Assumptions'!$B$310*0.5)/20)</f>
        <v>3.3750000000000002E-4</v>
      </c>
      <c r="E968" s="52">
        <f>('Scenario 2 Assumptions'!$B$279*('Scenario 2 Assumptions'!$B$310*0.5)/20)</f>
        <v>3.3750000000000002E-4</v>
      </c>
      <c r="F968" s="52">
        <f>('Scenario 2 Assumptions'!$B$279*('Scenario 2 Assumptions'!$B$310*0.5)/20)</f>
        <v>3.3750000000000002E-4</v>
      </c>
      <c r="G968" s="52">
        <f>('Scenario 2 Assumptions'!$B$279*('Scenario 2 Assumptions'!$B$310*0.5)/20)</f>
        <v>3.3750000000000002E-4</v>
      </c>
      <c r="H968" s="52">
        <f>('Scenario 2 Assumptions'!$B$279*('Scenario 2 Assumptions'!$B$310*0.5)/20)</f>
        <v>3.3750000000000002E-4</v>
      </c>
      <c r="I968" s="52">
        <f>('Scenario 2 Assumptions'!$B$279*('Scenario 2 Assumptions'!$B$310*0.5)/20)</f>
        <v>3.3750000000000002E-4</v>
      </c>
      <c r="J968" s="52">
        <f>('Scenario 2 Assumptions'!$B$279*('Scenario 2 Assumptions'!$B$310*0.5)/20)</f>
        <v>3.3750000000000002E-4</v>
      </c>
      <c r="K968" s="52">
        <f>('Scenario 2 Assumptions'!$B$279*('Scenario 2 Assumptions'!$B$310*0.5)/20)</f>
        <v>3.3750000000000002E-4</v>
      </c>
      <c r="L968" s="52">
        <f>('Scenario 2 Assumptions'!$B$279*('Scenario 2 Assumptions'!$B$310*0.5)/20)</f>
        <v>3.3750000000000002E-4</v>
      </c>
      <c r="M968" s="52">
        <f>('Scenario 2 Assumptions'!$B$279*('Scenario 2 Assumptions'!$B$310*0.5)/20)</f>
        <v>3.3750000000000002E-4</v>
      </c>
      <c r="N968" s="52">
        <f>('Scenario 2 Assumptions'!$B$279*('Scenario 2 Assumptions'!$B$310*0.5)/20)</f>
        <v>3.3750000000000002E-4</v>
      </c>
      <c r="O968" s="52">
        <f>('Scenario 2 Assumptions'!$B$279*('Scenario 2 Assumptions'!$B$310*0.5)/20)</f>
        <v>3.3750000000000002E-4</v>
      </c>
      <c r="P968" s="52">
        <f>('Scenario 2 Assumptions'!$B$279*('Scenario 2 Assumptions'!$B$310*0.5)/20)</f>
        <v>3.3750000000000002E-4</v>
      </c>
      <c r="Q968" s="52">
        <f>('Scenario 2 Assumptions'!$B$279*('Scenario 2 Assumptions'!$B$310*0.5)/20)</f>
        <v>3.3750000000000002E-4</v>
      </c>
      <c r="R968" s="52">
        <f>('Scenario 2 Assumptions'!$B$279*('Scenario 2 Assumptions'!$B$310*0.5)/20)</f>
        <v>3.3750000000000002E-4</v>
      </c>
      <c r="S968" s="52">
        <f>('Scenario 2 Assumptions'!$B$279*('Scenario 2 Assumptions'!$B$310*0.5)/20)</f>
        <v>3.3750000000000002E-4</v>
      </c>
      <c r="T968" s="52">
        <f>('Scenario 2 Assumptions'!$B$279*('Scenario 2 Assumptions'!$B$310*0.5)/20)</f>
        <v>3.3750000000000002E-4</v>
      </c>
      <c r="U968" s="52">
        <f>('Scenario 2 Assumptions'!$B$279*('Scenario 2 Assumptions'!$B$310*0.5)/20)</f>
        <v>3.3750000000000002E-4</v>
      </c>
      <c r="V968" s="180">
        <f t="shared" ref="V968:V969" si="1988">SUM(B968:U968)</f>
        <v>6.7500000000000017E-3</v>
      </c>
      <c r="W968" s="53">
        <f t="shared" ref="W968:W969" si="1989">V968/20</f>
        <v>3.3750000000000007E-4</v>
      </c>
    </row>
    <row r="969" spans="1:25" ht="13.5" customHeight="1">
      <c r="A969" s="49" t="s">
        <v>664</v>
      </c>
      <c r="B969" s="34">
        <f>SUM(B967:B968)</f>
        <v>7.0875E-3</v>
      </c>
      <c r="C969" s="34">
        <f t="shared" ref="C969" si="1990">SUM(C967:C968)</f>
        <v>3.3750000000000002E-4</v>
      </c>
      <c r="D969" s="34">
        <f t="shared" ref="D969" si="1991">SUM(D967:D968)</f>
        <v>3.3750000000000002E-4</v>
      </c>
      <c r="E969" s="34">
        <f t="shared" ref="E969" si="1992">SUM(E967:E968)</f>
        <v>7.0875E-3</v>
      </c>
      <c r="F969" s="34">
        <f t="shared" ref="F969" si="1993">SUM(F967:F968)</f>
        <v>3.3750000000000002E-4</v>
      </c>
      <c r="G969" s="34">
        <f t="shared" ref="G969" si="1994">SUM(G967:G968)</f>
        <v>3.3750000000000002E-4</v>
      </c>
      <c r="H969" s="34">
        <f t="shared" ref="H969" si="1995">SUM(H967:H968)</f>
        <v>7.0875E-3</v>
      </c>
      <c r="I969" s="34">
        <f t="shared" ref="I969" si="1996">SUM(I967:I968)</f>
        <v>3.3750000000000002E-4</v>
      </c>
      <c r="J969" s="34">
        <f t="shared" ref="J969" si="1997">SUM(J967:J968)</f>
        <v>3.3750000000000002E-4</v>
      </c>
      <c r="K969" s="34">
        <f t="shared" ref="K969" si="1998">SUM(K967:K968)</f>
        <v>7.0875E-3</v>
      </c>
      <c r="L969" s="34">
        <f t="shared" ref="L969" si="1999">SUM(L967:L968)</f>
        <v>3.3750000000000002E-4</v>
      </c>
      <c r="M969" s="34">
        <f t="shared" ref="M969" si="2000">SUM(M967:M968)</f>
        <v>3.3750000000000002E-4</v>
      </c>
      <c r="N969" s="34">
        <f t="shared" ref="N969" si="2001">SUM(N967:N968)</f>
        <v>7.0875E-3</v>
      </c>
      <c r="O969" s="34">
        <f t="shared" ref="O969" si="2002">SUM(O967:O968)</f>
        <v>3.3750000000000002E-4</v>
      </c>
      <c r="P969" s="34">
        <f t="shared" ref="P969" si="2003">SUM(P967:P968)</f>
        <v>3.3750000000000002E-4</v>
      </c>
      <c r="Q969" s="34">
        <f t="shared" ref="Q969" si="2004">SUM(Q967:Q968)</f>
        <v>7.0875E-3</v>
      </c>
      <c r="R969" s="34">
        <f t="shared" ref="R969" si="2005">SUM(R967:R968)</f>
        <v>3.3750000000000002E-4</v>
      </c>
      <c r="S969" s="34">
        <f t="shared" ref="S969" si="2006">SUM(S967:S968)</f>
        <v>3.3750000000000002E-4</v>
      </c>
      <c r="T969" s="34">
        <f t="shared" ref="T969" si="2007">SUM(T967:T968)</f>
        <v>7.0875E-3</v>
      </c>
      <c r="U969" s="34">
        <f t="shared" ref="U969" si="2008">SUM(U967:U968)</f>
        <v>3.3750000000000002E-4</v>
      </c>
      <c r="V969" s="180">
        <f t="shared" si="1988"/>
        <v>5.3999999999999986E-2</v>
      </c>
      <c r="W969" s="53">
        <f t="shared" si="1989"/>
        <v>2.6999999999999993E-3</v>
      </c>
    </row>
    <row r="970" spans="1:25" s="81" customFormat="1">
      <c r="A970" s="134" t="s">
        <v>123</v>
      </c>
      <c r="B970" s="52">
        <v>0.96618357487922713</v>
      </c>
      <c r="C970" s="52">
        <v>0.93351070036640305</v>
      </c>
      <c r="D970" s="52">
        <v>0.90194270566802237</v>
      </c>
      <c r="E970" s="52">
        <v>0.87144222769857238</v>
      </c>
      <c r="F970" s="52">
        <v>0.84197316685852419</v>
      </c>
      <c r="G970" s="52">
        <v>0.81350064430775282</v>
      </c>
      <c r="H970" s="52">
        <v>0.78599096068381913</v>
      </c>
      <c r="I970" s="52">
        <v>0.75941155621625056</v>
      </c>
      <c r="J970" s="52">
        <v>0.73373097218961414</v>
      </c>
      <c r="K970" s="52">
        <v>0.70891881370977217</v>
      </c>
      <c r="L970" s="52">
        <v>0.68494571372924851</v>
      </c>
      <c r="M970" s="52">
        <v>0.66178329828912896</v>
      </c>
      <c r="N970" s="52">
        <v>0.63940415293635666</v>
      </c>
      <c r="O970" s="52">
        <v>0.61778179027667302</v>
      </c>
      <c r="P970" s="52">
        <v>0.59689061862480497</v>
      </c>
      <c r="Q970" s="52">
        <v>0.57670591171478747</v>
      </c>
      <c r="R970" s="52">
        <v>0.55720377943457733</v>
      </c>
      <c r="S970" s="52">
        <v>0.53836113955031628</v>
      </c>
      <c r="T970" s="52">
        <v>0.52015569038677911</v>
      </c>
      <c r="U970" s="52">
        <v>0.50256588443167061</v>
      </c>
      <c r="V970" s="180"/>
      <c r="W970" s="133"/>
    </row>
    <row r="971" spans="1:25" s="81" customFormat="1">
      <c r="A971" s="50" t="s">
        <v>1069</v>
      </c>
      <c r="B971" s="34">
        <f t="shared" ref="B971:U971" si="2009">B970*B969</f>
        <v>6.8478260869565223E-3</v>
      </c>
      <c r="C971" s="34">
        <f t="shared" si="2009"/>
        <v>3.1505986137366106E-4</v>
      </c>
      <c r="D971" s="34">
        <f t="shared" si="2009"/>
        <v>3.0440566316295754E-4</v>
      </c>
      <c r="E971" s="34">
        <f t="shared" si="2009"/>
        <v>6.1763467888136317E-3</v>
      </c>
      <c r="F971" s="34">
        <f t="shared" si="2009"/>
        <v>2.8416594381475195E-4</v>
      </c>
      <c r="G971" s="34">
        <f t="shared" si="2009"/>
        <v>2.745564674538666E-4</v>
      </c>
      <c r="H971" s="34">
        <f t="shared" si="2009"/>
        <v>5.5707109338465682E-3</v>
      </c>
      <c r="I971" s="34">
        <f t="shared" si="2009"/>
        <v>2.5630140022298459E-4</v>
      </c>
      <c r="J971" s="34">
        <f t="shared" si="2009"/>
        <v>2.476342031139948E-4</v>
      </c>
      <c r="K971" s="34">
        <f t="shared" si="2009"/>
        <v>5.0244620921680106E-3</v>
      </c>
      <c r="L971" s="34">
        <f t="shared" si="2009"/>
        <v>2.3116917838362139E-4</v>
      </c>
      <c r="M971" s="34">
        <f t="shared" si="2009"/>
        <v>2.2335186317258104E-4</v>
      </c>
      <c r="N971" s="34">
        <f t="shared" si="2009"/>
        <v>4.5317769339364277E-3</v>
      </c>
      <c r="O971" s="34">
        <f t="shared" si="2009"/>
        <v>2.0850135421837717E-4</v>
      </c>
      <c r="P971" s="34">
        <f t="shared" si="2009"/>
        <v>2.0145058378587169E-4</v>
      </c>
      <c r="Q971" s="34">
        <f t="shared" si="2009"/>
        <v>4.0874031492785564E-3</v>
      </c>
      <c r="R971" s="34">
        <f t="shared" si="2009"/>
        <v>1.8805627555916986E-4</v>
      </c>
      <c r="S971" s="34">
        <f t="shared" si="2009"/>
        <v>1.8169688459823176E-4</v>
      </c>
      <c r="T971" s="34">
        <f t="shared" si="2009"/>
        <v>3.686603455616297E-3</v>
      </c>
      <c r="U971" s="34">
        <f t="shared" si="2009"/>
        <v>1.6961598599568884E-4</v>
      </c>
      <c r="V971" s="182">
        <f>SUM(B971:U971)</f>
        <v>3.9011095105471773E-2</v>
      </c>
      <c r="W971" s="35"/>
    </row>
    <row r="972" spans="1:25">
      <c r="A972" s="49"/>
      <c r="B972" s="34"/>
      <c r="C972" s="34"/>
      <c r="D972" s="34"/>
      <c r="E972" s="34"/>
      <c r="F972" s="34"/>
      <c r="G972" s="34"/>
      <c r="H972" s="34"/>
      <c r="I972" s="34"/>
      <c r="J972" s="34"/>
      <c r="K972" s="34"/>
      <c r="L972" s="34"/>
      <c r="M972" s="34"/>
      <c r="N972" s="34"/>
      <c r="O972" s="34"/>
      <c r="P972" s="34"/>
      <c r="Q972" s="34"/>
      <c r="R972" s="34"/>
      <c r="S972" s="34"/>
      <c r="T972" s="34"/>
      <c r="U972" s="34"/>
      <c r="V972" s="182"/>
      <c r="W972" s="35"/>
    </row>
    <row r="973" spans="1:25">
      <c r="A973" s="131" t="s">
        <v>1119</v>
      </c>
      <c r="B973" s="100"/>
      <c r="C973" s="100"/>
      <c r="D973" s="100"/>
      <c r="E973" s="100"/>
      <c r="F973" s="100"/>
      <c r="G973" s="100"/>
      <c r="H973" s="100"/>
      <c r="I973" s="100"/>
      <c r="J973" s="100"/>
      <c r="K973" s="100"/>
      <c r="L973" s="100"/>
      <c r="M973" s="100"/>
      <c r="N973" s="100"/>
      <c r="O973" s="100"/>
      <c r="P973" s="100"/>
      <c r="Q973" s="100"/>
      <c r="R973" s="100"/>
      <c r="S973" s="100"/>
      <c r="T973" s="100"/>
      <c r="U973" s="100"/>
      <c r="V973" s="179"/>
      <c r="W973" s="140"/>
    </row>
    <row r="974" spans="1:25">
      <c r="A974" s="200" t="s">
        <v>679</v>
      </c>
      <c r="B974" s="52">
        <v>0</v>
      </c>
      <c r="C974" s="52">
        <v>0</v>
      </c>
      <c r="D974" s="52">
        <v>0</v>
      </c>
      <c r="E974" s="52">
        <v>0</v>
      </c>
      <c r="F974" s="52">
        <v>0</v>
      </c>
      <c r="G974" s="52">
        <v>0</v>
      </c>
      <c r="H974" s="52">
        <v>0</v>
      </c>
      <c r="I974" s="52">
        <v>0</v>
      </c>
      <c r="J974" s="52">
        <v>0</v>
      </c>
      <c r="K974" s="52">
        <v>0</v>
      </c>
      <c r="L974" s="52">
        <v>0</v>
      </c>
      <c r="M974" s="52">
        <v>0</v>
      </c>
      <c r="N974" s="52">
        <v>0</v>
      </c>
      <c r="O974" s="52">
        <v>0</v>
      </c>
      <c r="P974" s="52">
        <v>0</v>
      </c>
      <c r="Q974" s="52">
        <v>0</v>
      </c>
      <c r="R974" s="52">
        <v>0</v>
      </c>
      <c r="S974" s="52">
        <v>0</v>
      </c>
      <c r="T974" s="52">
        <v>0</v>
      </c>
      <c r="U974" s="52">
        <v>0</v>
      </c>
      <c r="V974" s="180">
        <f>SUM(B974:U974)</f>
        <v>0</v>
      </c>
      <c r="W974" s="53">
        <f>V974/20</f>
        <v>0</v>
      </c>
    </row>
    <row r="975" spans="1:25" s="3" customFormat="1">
      <c r="A975" s="200" t="s">
        <v>680</v>
      </c>
      <c r="B975" s="52">
        <f>('Scenario 2 Assumptions'!$B$279*('Scenario 2 Assumptions'!$B$311*0.5)/20)</f>
        <v>1.6875000000000001E-4</v>
      </c>
      <c r="C975" s="52">
        <f>('Scenario 2 Assumptions'!$B$279*('Scenario 2 Assumptions'!$B$311*0.5)/20)</f>
        <v>1.6875000000000001E-4</v>
      </c>
      <c r="D975" s="52">
        <f>('Scenario 2 Assumptions'!$B$279*('Scenario 2 Assumptions'!$B$311*0.5)/20)</f>
        <v>1.6875000000000001E-4</v>
      </c>
      <c r="E975" s="52">
        <f>('Scenario 2 Assumptions'!$B$279*('Scenario 2 Assumptions'!$B$311*0.5)/20)</f>
        <v>1.6875000000000001E-4</v>
      </c>
      <c r="F975" s="52">
        <f>('Scenario 2 Assumptions'!$B$279*('Scenario 2 Assumptions'!$B$311*0.5)/20)</f>
        <v>1.6875000000000001E-4</v>
      </c>
      <c r="G975" s="52">
        <f>('Scenario 2 Assumptions'!$B$279*('Scenario 2 Assumptions'!$B$311*0.5)/20)</f>
        <v>1.6875000000000001E-4</v>
      </c>
      <c r="H975" s="52">
        <f>('Scenario 2 Assumptions'!$B$279*('Scenario 2 Assumptions'!$B$311*0.5)/20)</f>
        <v>1.6875000000000001E-4</v>
      </c>
      <c r="I975" s="52">
        <f>('Scenario 2 Assumptions'!$B$279*('Scenario 2 Assumptions'!$B$311*0.5)/20)</f>
        <v>1.6875000000000001E-4</v>
      </c>
      <c r="J975" s="52">
        <f>('Scenario 2 Assumptions'!$B$279*('Scenario 2 Assumptions'!$B$311*0.5)/20)</f>
        <v>1.6875000000000001E-4</v>
      </c>
      <c r="K975" s="52">
        <f>('Scenario 2 Assumptions'!$B$279*('Scenario 2 Assumptions'!$B$311*0.5)/20)</f>
        <v>1.6875000000000001E-4</v>
      </c>
      <c r="L975" s="52">
        <f>('Scenario 2 Assumptions'!$B$279*('Scenario 2 Assumptions'!$B$311*0.5)/20)</f>
        <v>1.6875000000000001E-4</v>
      </c>
      <c r="M975" s="52">
        <f>('Scenario 2 Assumptions'!$B$279*('Scenario 2 Assumptions'!$B$311*0.5)/20)</f>
        <v>1.6875000000000001E-4</v>
      </c>
      <c r="N975" s="52">
        <f>('Scenario 2 Assumptions'!$B$279*('Scenario 2 Assumptions'!$B$311*0.5)/20)</f>
        <v>1.6875000000000001E-4</v>
      </c>
      <c r="O975" s="52">
        <f>('Scenario 2 Assumptions'!$B$279*('Scenario 2 Assumptions'!$B$311*0.5)/20)</f>
        <v>1.6875000000000001E-4</v>
      </c>
      <c r="P975" s="52">
        <f>('Scenario 2 Assumptions'!$B$279*('Scenario 2 Assumptions'!$B$311*0.5)/20)</f>
        <v>1.6875000000000001E-4</v>
      </c>
      <c r="Q975" s="52">
        <f>('Scenario 2 Assumptions'!$B$279*('Scenario 2 Assumptions'!$B$311*0.5)/20)</f>
        <v>1.6875000000000001E-4</v>
      </c>
      <c r="R975" s="52">
        <f>('Scenario 2 Assumptions'!$B$279*('Scenario 2 Assumptions'!$B$311*0.5)/20)</f>
        <v>1.6875000000000001E-4</v>
      </c>
      <c r="S975" s="52">
        <f>('Scenario 2 Assumptions'!$B$279*('Scenario 2 Assumptions'!$B$311*0.5)/20)</f>
        <v>1.6875000000000001E-4</v>
      </c>
      <c r="T975" s="52">
        <f>('Scenario 2 Assumptions'!$B$279*('Scenario 2 Assumptions'!$B$311*0.5)/20)</f>
        <v>1.6875000000000001E-4</v>
      </c>
      <c r="U975" s="52">
        <f>('Scenario 2 Assumptions'!$B$279*('Scenario 2 Assumptions'!$B$311*0.5)/20)</f>
        <v>1.6875000000000001E-4</v>
      </c>
      <c r="V975" s="180">
        <f t="shared" ref="V975:V976" si="2010">SUM(B975:U975)</f>
        <v>3.3750000000000008E-3</v>
      </c>
      <c r="W975" s="53">
        <f t="shared" ref="W975:W976" si="2011">V975/20</f>
        <v>1.6875000000000004E-4</v>
      </c>
    </row>
    <row r="976" spans="1:25" ht="13.5" customHeight="1">
      <c r="A976" s="49" t="s">
        <v>664</v>
      </c>
      <c r="B976" s="34">
        <f>SUM(B974:B975)</f>
        <v>1.6875000000000001E-4</v>
      </c>
      <c r="C976" s="34">
        <f t="shared" ref="C976" si="2012">SUM(C974:C975)</f>
        <v>1.6875000000000001E-4</v>
      </c>
      <c r="D976" s="34">
        <f t="shared" ref="D976" si="2013">SUM(D974:D975)</f>
        <v>1.6875000000000001E-4</v>
      </c>
      <c r="E976" s="34">
        <f t="shared" ref="E976" si="2014">SUM(E974:E975)</f>
        <v>1.6875000000000001E-4</v>
      </c>
      <c r="F976" s="34">
        <f t="shared" ref="F976" si="2015">SUM(F974:F975)</f>
        <v>1.6875000000000001E-4</v>
      </c>
      <c r="G976" s="34">
        <f t="shared" ref="G976" si="2016">SUM(G974:G975)</f>
        <v>1.6875000000000001E-4</v>
      </c>
      <c r="H976" s="34">
        <f t="shared" ref="H976" si="2017">SUM(H974:H975)</f>
        <v>1.6875000000000001E-4</v>
      </c>
      <c r="I976" s="34">
        <f t="shared" ref="I976" si="2018">SUM(I974:I975)</f>
        <v>1.6875000000000001E-4</v>
      </c>
      <c r="J976" s="34">
        <f t="shared" ref="J976" si="2019">SUM(J974:J975)</f>
        <v>1.6875000000000001E-4</v>
      </c>
      <c r="K976" s="34">
        <f t="shared" ref="K976" si="2020">SUM(K974:K975)</f>
        <v>1.6875000000000001E-4</v>
      </c>
      <c r="L976" s="34">
        <f t="shared" ref="L976" si="2021">SUM(L974:L975)</f>
        <v>1.6875000000000001E-4</v>
      </c>
      <c r="M976" s="34">
        <f t="shared" ref="M976" si="2022">SUM(M974:M975)</f>
        <v>1.6875000000000001E-4</v>
      </c>
      <c r="N976" s="34">
        <f t="shared" ref="N976" si="2023">SUM(N974:N975)</f>
        <v>1.6875000000000001E-4</v>
      </c>
      <c r="O976" s="34">
        <f t="shared" ref="O976" si="2024">SUM(O974:O975)</f>
        <v>1.6875000000000001E-4</v>
      </c>
      <c r="P976" s="34">
        <f t="shared" ref="P976" si="2025">SUM(P974:P975)</f>
        <v>1.6875000000000001E-4</v>
      </c>
      <c r="Q976" s="34">
        <f t="shared" ref="Q976" si="2026">SUM(Q974:Q975)</f>
        <v>1.6875000000000001E-4</v>
      </c>
      <c r="R976" s="34">
        <f t="shared" ref="R976" si="2027">SUM(R974:R975)</f>
        <v>1.6875000000000001E-4</v>
      </c>
      <c r="S976" s="34">
        <f t="shared" ref="S976" si="2028">SUM(S974:S975)</f>
        <v>1.6875000000000001E-4</v>
      </c>
      <c r="T976" s="34">
        <f t="shared" ref="T976" si="2029">SUM(T974:T975)</f>
        <v>1.6875000000000001E-4</v>
      </c>
      <c r="U976" s="34">
        <f t="shared" ref="U976" si="2030">SUM(U974:U975)</f>
        <v>1.6875000000000001E-4</v>
      </c>
      <c r="V976" s="180">
        <f t="shared" si="2010"/>
        <v>3.3750000000000008E-3</v>
      </c>
      <c r="W976" s="53">
        <f t="shared" si="2011"/>
        <v>1.6875000000000004E-4</v>
      </c>
      <c r="Y976" s="175"/>
    </row>
    <row r="977" spans="1:25" s="81" customFormat="1">
      <c r="A977" s="134" t="s">
        <v>123</v>
      </c>
      <c r="B977" s="52">
        <v>0.96618357487922713</v>
      </c>
      <c r="C977" s="52">
        <v>0.93351070036640305</v>
      </c>
      <c r="D977" s="52">
        <v>0.90194270566802237</v>
      </c>
      <c r="E977" s="52">
        <v>0.87144222769857238</v>
      </c>
      <c r="F977" s="52">
        <v>0.84197316685852419</v>
      </c>
      <c r="G977" s="52">
        <v>0.81350064430775282</v>
      </c>
      <c r="H977" s="52">
        <v>0.78599096068381913</v>
      </c>
      <c r="I977" s="52">
        <v>0.75941155621625056</v>
      </c>
      <c r="J977" s="52">
        <v>0.73373097218961414</v>
      </c>
      <c r="K977" s="52">
        <v>0.70891881370977217</v>
      </c>
      <c r="L977" s="52">
        <v>0.68494571372924851</v>
      </c>
      <c r="M977" s="52">
        <v>0.66178329828912896</v>
      </c>
      <c r="N977" s="52">
        <v>0.63940415293635666</v>
      </c>
      <c r="O977" s="52">
        <v>0.61778179027667302</v>
      </c>
      <c r="P977" s="52">
        <v>0.59689061862480497</v>
      </c>
      <c r="Q977" s="52">
        <v>0.57670591171478747</v>
      </c>
      <c r="R977" s="52">
        <v>0.55720377943457733</v>
      </c>
      <c r="S977" s="52">
        <v>0.53836113955031628</v>
      </c>
      <c r="T977" s="52">
        <v>0.52015569038677911</v>
      </c>
      <c r="U977" s="52">
        <v>0.50256588443167061</v>
      </c>
      <c r="V977" s="180"/>
      <c r="W977" s="133"/>
      <c r="Y977" s="175"/>
    </row>
    <row r="978" spans="1:25" s="81" customFormat="1">
      <c r="A978" s="50" t="s">
        <v>1069</v>
      </c>
      <c r="B978" s="34">
        <f t="shared" ref="B978:U978" si="2031">B977*B976</f>
        <v>1.6304347826086958E-4</v>
      </c>
      <c r="C978" s="34">
        <f t="shared" si="2031"/>
        <v>1.5752993068683053E-4</v>
      </c>
      <c r="D978" s="34">
        <f t="shared" si="2031"/>
        <v>1.5220283158147877E-4</v>
      </c>
      <c r="E978" s="34">
        <f t="shared" si="2031"/>
        <v>1.4705587592413411E-4</v>
      </c>
      <c r="F978" s="34">
        <f t="shared" si="2031"/>
        <v>1.4208297190737598E-4</v>
      </c>
      <c r="G978" s="34">
        <f t="shared" si="2031"/>
        <v>1.372782337269333E-4</v>
      </c>
      <c r="H978" s="34">
        <f t="shared" si="2031"/>
        <v>1.3263597461539447E-4</v>
      </c>
      <c r="I978" s="34">
        <f t="shared" si="2031"/>
        <v>1.281507001114923E-4</v>
      </c>
      <c r="J978" s="34">
        <f t="shared" si="2031"/>
        <v>1.238171015569974E-4</v>
      </c>
      <c r="K978" s="34">
        <f t="shared" si="2031"/>
        <v>1.1963004981352407E-4</v>
      </c>
      <c r="L978" s="34">
        <f t="shared" si="2031"/>
        <v>1.1558458919181069E-4</v>
      </c>
      <c r="M978" s="34">
        <f t="shared" si="2031"/>
        <v>1.1167593158629052E-4</v>
      </c>
      <c r="N978" s="34">
        <f t="shared" si="2031"/>
        <v>1.0789945080801019E-4</v>
      </c>
      <c r="O978" s="34">
        <f t="shared" si="2031"/>
        <v>1.0425067710918858E-4</v>
      </c>
      <c r="P978" s="34">
        <f t="shared" si="2031"/>
        <v>1.0072529189293584E-4</v>
      </c>
      <c r="Q978" s="34">
        <f t="shared" si="2031"/>
        <v>9.7319122601870396E-5</v>
      </c>
      <c r="R978" s="34">
        <f t="shared" si="2031"/>
        <v>9.402813777958493E-5</v>
      </c>
      <c r="S978" s="34">
        <f t="shared" si="2031"/>
        <v>9.0848442299115879E-5</v>
      </c>
      <c r="T978" s="34">
        <f t="shared" si="2031"/>
        <v>8.7776272752768973E-5</v>
      </c>
      <c r="U978" s="34">
        <f t="shared" si="2031"/>
        <v>8.4807992997844422E-5</v>
      </c>
      <c r="V978" s="182">
        <f>SUM(B978:U978)</f>
        <v>2.3983430572044511E-3</v>
      </c>
      <c r="W978" s="35"/>
    </row>
    <row r="979" spans="1:25">
      <c r="A979" s="49"/>
      <c r="B979" s="34"/>
      <c r="C979" s="34"/>
      <c r="D979" s="34"/>
      <c r="E979" s="34"/>
      <c r="F979" s="34"/>
      <c r="G979" s="34"/>
      <c r="H979" s="34"/>
      <c r="I979" s="34"/>
      <c r="J979" s="34"/>
      <c r="K979" s="34"/>
      <c r="L979" s="34"/>
      <c r="M979" s="34"/>
      <c r="N979" s="34"/>
      <c r="O979" s="34"/>
      <c r="P979" s="34"/>
      <c r="Q979" s="34"/>
      <c r="R979" s="34"/>
      <c r="S979" s="34"/>
      <c r="T979" s="34"/>
      <c r="U979" s="34"/>
      <c r="V979" s="182"/>
      <c r="W979" s="35"/>
    </row>
    <row r="980" spans="1:25">
      <c r="A980" s="131" t="s">
        <v>1120</v>
      </c>
      <c r="B980" s="100"/>
      <c r="C980" s="100"/>
      <c r="D980" s="100"/>
      <c r="E980" s="100"/>
      <c r="F980" s="100"/>
      <c r="G980" s="100"/>
      <c r="H980" s="100"/>
      <c r="I980" s="100"/>
      <c r="J980" s="100"/>
      <c r="K980" s="100"/>
      <c r="L980" s="100"/>
      <c r="M980" s="100"/>
      <c r="N980" s="100"/>
      <c r="O980" s="100"/>
      <c r="P980" s="100"/>
      <c r="Q980" s="100"/>
      <c r="R980" s="100"/>
      <c r="S980" s="100"/>
      <c r="T980" s="100"/>
      <c r="U980" s="100"/>
      <c r="V980" s="179"/>
      <c r="W980" s="140"/>
    </row>
    <row r="981" spans="1:25">
      <c r="A981" s="200" t="s">
        <v>679</v>
      </c>
      <c r="B981" s="52">
        <v>0</v>
      </c>
      <c r="C981" s="52">
        <v>0</v>
      </c>
      <c r="D981" s="52">
        <v>0</v>
      </c>
      <c r="E981" s="52">
        <v>0</v>
      </c>
      <c r="F981" s="52">
        <v>0</v>
      </c>
      <c r="G981" s="52">
        <v>0</v>
      </c>
      <c r="H981" s="52">
        <v>0</v>
      </c>
      <c r="I981" s="52">
        <v>0</v>
      </c>
      <c r="J981" s="52">
        <v>0</v>
      </c>
      <c r="K981" s="52">
        <v>0</v>
      </c>
      <c r="L981" s="52">
        <v>0</v>
      </c>
      <c r="M981" s="52">
        <v>0</v>
      </c>
      <c r="N981" s="52">
        <v>0</v>
      </c>
      <c r="O981" s="52">
        <v>0</v>
      </c>
      <c r="P981" s="52">
        <v>0</v>
      </c>
      <c r="Q981" s="52">
        <v>0</v>
      </c>
      <c r="R981" s="52">
        <v>0</v>
      </c>
      <c r="S981" s="52">
        <v>0</v>
      </c>
      <c r="T981" s="52">
        <v>0</v>
      </c>
      <c r="U981" s="52">
        <v>0</v>
      </c>
      <c r="V981" s="180">
        <f>SUM(B981:U981)</f>
        <v>0</v>
      </c>
      <c r="W981" s="53">
        <f>V981/20</f>
        <v>0</v>
      </c>
    </row>
    <row r="982" spans="1:25" s="3" customFormat="1">
      <c r="A982" s="200" t="s">
        <v>680</v>
      </c>
      <c r="B982" s="52">
        <f>('Scenario 2 Assumptions'!$B$279*('Scenario 2 Assumptions'!$B$312*0.5)/20)</f>
        <v>1.6875000000000001E-4</v>
      </c>
      <c r="C982" s="52">
        <f>('Scenario 2 Assumptions'!$B$279*('Scenario 2 Assumptions'!$B$312*0.5)/20)</f>
        <v>1.6875000000000001E-4</v>
      </c>
      <c r="D982" s="52">
        <f>('Scenario 2 Assumptions'!$B$279*('Scenario 2 Assumptions'!$B$312*0.5)/20)</f>
        <v>1.6875000000000001E-4</v>
      </c>
      <c r="E982" s="52">
        <f>('Scenario 2 Assumptions'!$B$279*('Scenario 2 Assumptions'!$B$312*0.5)/20)</f>
        <v>1.6875000000000001E-4</v>
      </c>
      <c r="F982" s="52">
        <f>('Scenario 2 Assumptions'!$B$279*('Scenario 2 Assumptions'!$B$312*0.5)/20)</f>
        <v>1.6875000000000001E-4</v>
      </c>
      <c r="G982" s="52">
        <f>('Scenario 2 Assumptions'!$B$279*('Scenario 2 Assumptions'!$B$312*0.5)/20)</f>
        <v>1.6875000000000001E-4</v>
      </c>
      <c r="H982" s="52">
        <f>('Scenario 2 Assumptions'!$B$279*('Scenario 2 Assumptions'!$B$312*0.5)/20)</f>
        <v>1.6875000000000001E-4</v>
      </c>
      <c r="I982" s="52">
        <f>('Scenario 2 Assumptions'!$B$279*('Scenario 2 Assumptions'!$B$312*0.5)/20)</f>
        <v>1.6875000000000001E-4</v>
      </c>
      <c r="J982" s="52">
        <f>('Scenario 2 Assumptions'!$B$279*('Scenario 2 Assumptions'!$B$312*0.5)/20)</f>
        <v>1.6875000000000001E-4</v>
      </c>
      <c r="K982" s="52">
        <f>('Scenario 2 Assumptions'!$B$279*('Scenario 2 Assumptions'!$B$312*0.5)/20)</f>
        <v>1.6875000000000001E-4</v>
      </c>
      <c r="L982" s="52">
        <f>('Scenario 2 Assumptions'!$B$279*('Scenario 2 Assumptions'!$B$312*0.5)/20)</f>
        <v>1.6875000000000001E-4</v>
      </c>
      <c r="M982" s="52">
        <f>('Scenario 2 Assumptions'!$B$279*('Scenario 2 Assumptions'!$B$312*0.5)/20)</f>
        <v>1.6875000000000001E-4</v>
      </c>
      <c r="N982" s="52">
        <f>('Scenario 2 Assumptions'!$B$279*('Scenario 2 Assumptions'!$B$312*0.5)/20)</f>
        <v>1.6875000000000001E-4</v>
      </c>
      <c r="O982" s="52">
        <f>('Scenario 2 Assumptions'!$B$279*('Scenario 2 Assumptions'!$B$312*0.5)/20)</f>
        <v>1.6875000000000001E-4</v>
      </c>
      <c r="P982" s="52">
        <f>('Scenario 2 Assumptions'!$B$279*('Scenario 2 Assumptions'!$B$312*0.5)/20)</f>
        <v>1.6875000000000001E-4</v>
      </c>
      <c r="Q982" s="52">
        <f>('Scenario 2 Assumptions'!$B$279*('Scenario 2 Assumptions'!$B$312*0.5)/20)</f>
        <v>1.6875000000000001E-4</v>
      </c>
      <c r="R982" s="52">
        <f>('Scenario 2 Assumptions'!$B$279*('Scenario 2 Assumptions'!$B$312*0.5)/20)</f>
        <v>1.6875000000000001E-4</v>
      </c>
      <c r="S982" s="52">
        <f>('Scenario 2 Assumptions'!$B$279*('Scenario 2 Assumptions'!$B$312*0.5)/20)</f>
        <v>1.6875000000000001E-4</v>
      </c>
      <c r="T982" s="52">
        <f>('Scenario 2 Assumptions'!$B$279*('Scenario 2 Assumptions'!$B$312*0.5)/20)</f>
        <v>1.6875000000000001E-4</v>
      </c>
      <c r="U982" s="52">
        <f>('Scenario 2 Assumptions'!$B$279*('Scenario 2 Assumptions'!$B$312*0.5)/20)</f>
        <v>1.6875000000000001E-4</v>
      </c>
      <c r="V982" s="180">
        <f t="shared" ref="V982:V983" si="2032">SUM(B982:U982)</f>
        <v>3.3750000000000008E-3</v>
      </c>
      <c r="W982" s="53">
        <f t="shared" ref="W982:W983" si="2033">V982/20</f>
        <v>1.6875000000000004E-4</v>
      </c>
      <c r="Y982" s="74"/>
    </row>
    <row r="983" spans="1:25" ht="13.5" customHeight="1">
      <c r="A983" s="49" t="s">
        <v>664</v>
      </c>
      <c r="B983" s="34">
        <f>SUM(B981:B982)</f>
        <v>1.6875000000000001E-4</v>
      </c>
      <c r="C983" s="34">
        <f t="shared" ref="C983" si="2034">SUM(C981:C982)</f>
        <v>1.6875000000000001E-4</v>
      </c>
      <c r="D983" s="34">
        <f t="shared" ref="D983" si="2035">SUM(D981:D982)</f>
        <v>1.6875000000000001E-4</v>
      </c>
      <c r="E983" s="34">
        <f t="shared" ref="E983" si="2036">SUM(E981:E982)</f>
        <v>1.6875000000000001E-4</v>
      </c>
      <c r="F983" s="34">
        <f t="shared" ref="F983" si="2037">SUM(F981:F982)</f>
        <v>1.6875000000000001E-4</v>
      </c>
      <c r="G983" s="34">
        <f t="shared" ref="G983" si="2038">SUM(G981:G982)</f>
        <v>1.6875000000000001E-4</v>
      </c>
      <c r="H983" s="34">
        <f t="shared" ref="H983" si="2039">SUM(H981:H982)</f>
        <v>1.6875000000000001E-4</v>
      </c>
      <c r="I983" s="34">
        <f t="shared" ref="I983" si="2040">SUM(I981:I982)</f>
        <v>1.6875000000000001E-4</v>
      </c>
      <c r="J983" s="34">
        <f t="shared" ref="J983" si="2041">SUM(J981:J982)</f>
        <v>1.6875000000000001E-4</v>
      </c>
      <c r="K983" s="34">
        <f t="shared" ref="K983" si="2042">SUM(K981:K982)</f>
        <v>1.6875000000000001E-4</v>
      </c>
      <c r="L983" s="34">
        <f t="shared" ref="L983" si="2043">SUM(L981:L982)</f>
        <v>1.6875000000000001E-4</v>
      </c>
      <c r="M983" s="34">
        <f t="shared" ref="M983" si="2044">SUM(M981:M982)</f>
        <v>1.6875000000000001E-4</v>
      </c>
      <c r="N983" s="34">
        <f t="shared" ref="N983" si="2045">SUM(N981:N982)</f>
        <v>1.6875000000000001E-4</v>
      </c>
      <c r="O983" s="34">
        <f t="shared" ref="O983" si="2046">SUM(O981:O982)</f>
        <v>1.6875000000000001E-4</v>
      </c>
      <c r="P983" s="34">
        <f t="shared" ref="P983" si="2047">SUM(P981:P982)</f>
        <v>1.6875000000000001E-4</v>
      </c>
      <c r="Q983" s="34">
        <f t="shared" ref="Q983" si="2048">SUM(Q981:Q982)</f>
        <v>1.6875000000000001E-4</v>
      </c>
      <c r="R983" s="34">
        <f t="shared" ref="R983" si="2049">SUM(R981:R982)</f>
        <v>1.6875000000000001E-4</v>
      </c>
      <c r="S983" s="34">
        <f t="shared" ref="S983" si="2050">SUM(S981:S982)</f>
        <v>1.6875000000000001E-4</v>
      </c>
      <c r="T983" s="34">
        <f t="shared" ref="T983" si="2051">SUM(T981:T982)</f>
        <v>1.6875000000000001E-4</v>
      </c>
      <c r="U983" s="34">
        <f t="shared" ref="U983" si="2052">SUM(U981:U982)</f>
        <v>1.6875000000000001E-4</v>
      </c>
      <c r="V983" s="180">
        <f t="shared" si="2032"/>
        <v>3.3750000000000008E-3</v>
      </c>
      <c r="W983" s="53">
        <f t="shared" si="2033"/>
        <v>1.6875000000000004E-4</v>
      </c>
    </row>
    <row r="984" spans="1:25" s="81" customFormat="1">
      <c r="A984" s="134" t="s">
        <v>123</v>
      </c>
      <c r="B984" s="52">
        <v>0.96618357487922713</v>
      </c>
      <c r="C984" s="52">
        <v>0.93351070036640305</v>
      </c>
      <c r="D984" s="52">
        <v>0.90194270566802237</v>
      </c>
      <c r="E984" s="52">
        <v>0.87144222769857238</v>
      </c>
      <c r="F984" s="52">
        <v>0.84197316685852419</v>
      </c>
      <c r="G984" s="52">
        <v>0.81350064430775282</v>
      </c>
      <c r="H984" s="52">
        <v>0.78599096068381913</v>
      </c>
      <c r="I984" s="52">
        <v>0.75941155621625056</v>
      </c>
      <c r="J984" s="52">
        <v>0.73373097218961414</v>
      </c>
      <c r="K984" s="52">
        <v>0.70891881370977217</v>
      </c>
      <c r="L984" s="52">
        <v>0.68494571372924851</v>
      </c>
      <c r="M984" s="52">
        <v>0.66178329828912896</v>
      </c>
      <c r="N984" s="52">
        <v>0.63940415293635666</v>
      </c>
      <c r="O984" s="52">
        <v>0.61778179027667302</v>
      </c>
      <c r="P984" s="52">
        <v>0.59689061862480497</v>
      </c>
      <c r="Q984" s="52">
        <v>0.57670591171478747</v>
      </c>
      <c r="R984" s="52">
        <v>0.55720377943457733</v>
      </c>
      <c r="S984" s="52">
        <v>0.53836113955031628</v>
      </c>
      <c r="T984" s="52">
        <v>0.52015569038677911</v>
      </c>
      <c r="U984" s="52">
        <v>0.50256588443167061</v>
      </c>
      <c r="V984" s="180"/>
      <c r="W984" s="133"/>
      <c r="Y984" s="175"/>
    </row>
    <row r="985" spans="1:25" s="81" customFormat="1">
      <c r="A985" s="50" t="s">
        <v>1069</v>
      </c>
      <c r="B985" s="34">
        <f t="shared" ref="B985:U985" si="2053">B984*B983</f>
        <v>1.6304347826086958E-4</v>
      </c>
      <c r="C985" s="34">
        <f t="shared" si="2053"/>
        <v>1.5752993068683053E-4</v>
      </c>
      <c r="D985" s="34">
        <f t="shared" si="2053"/>
        <v>1.5220283158147877E-4</v>
      </c>
      <c r="E985" s="34">
        <f t="shared" si="2053"/>
        <v>1.4705587592413411E-4</v>
      </c>
      <c r="F985" s="34">
        <f t="shared" si="2053"/>
        <v>1.4208297190737598E-4</v>
      </c>
      <c r="G985" s="34">
        <f t="shared" si="2053"/>
        <v>1.372782337269333E-4</v>
      </c>
      <c r="H985" s="34">
        <f t="shared" si="2053"/>
        <v>1.3263597461539447E-4</v>
      </c>
      <c r="I985" s="34">
        <f t="shared" si="2053"/>
        <v>1.281507001114923E-4</v>
      </c>
      <c r="J985" s="34">
        <f t="shared" si="2053"/>
        <v>1.238171015569974E-4</v>
      </c>
      <c r="K985" s="34">
        <f t="shared" si="2053"/>
        <v>1.1963004981352407E-4</v>
      </c>
      <c r="L985" s="34">
        <f t="shared" si="2053"/>
        <v>1.1558458919181069E-4</v>
      </c>
      <c r="M985" s="34">
        <f t="shared" si="2053"/>
        <v>1.1167593158629052E-4</v>
      </c>
      <c r="N985" s="34">
        <f t="shared" si="2053"/>
        <v>1.0789945080801019E-4</v>
      </c>
      <c r="O985" s="34">
        <f t="shared" si="2053"/>
        <v>1.0425067710918858E-4</v>
      </c>
      <c r="P985" s="34">
        <f t="shared" si="2053"/>
        <v>1.0072529189293584E-4</v>
      </c>
      <c r="Q985" s="34">
        <f t="shared" si="2053"/>
        <v>9.7319122601870396E-5</v>
      </c>
      <c r="R985" s="34">
        <f t="shared" si="2053"/>
        <v>9.402813777958493E-5</v>
      </c>
      <c r="S985" s="34">
        <f t="shared" si="2053"/>
        <v>9.0848442299115879E-5</v>
      </c>
      <c r="T985" s="34">
        <f t="shared" si="2053"/>
        <v>8.7776272752768973E-5</v>
      </c>
      <c r="U985" s="34">
        <f t="shared" si="2053"/>
        <v>8.4807992997844422E-5</v>
      </c>
      <c r="V985" s="182">
        <f>SUM(B985:U985)</f>
        <v>2.3983430572044511E-3</v>
      </c>
      <c r="W985" s="35"/>
    </row>
    <row r="986" spans="1:25">
      <c r="A986" s="49"/>
      <c r="B986" s="34"/>
      <c r="C986" s="34"/>
      <c r="D986" s="34"/>
      <c r="E986" s="34"/>
      <c r="F986" s="34"/>
      <c r="G986" s="34"/>
      <c r="H986" s="34"/>
      <c r="I986" s="34"/>
      <c r="J986" s="34"/>
      <c r="K986" s="34"/>
      <c r="L986" s="34"/>
      <c r="M986" s="34"/>
      <c r="N986" s="34"/>
      <c r="O986" s="34"/>
      <c r="P986" s="34"/>
      <c r="Q986" s="34"/>
      <c r="R986" s="34"/>
      <c r="S986" s="34"/>
      <c r="T986" s="34"/>
      <c r="U986" s="34"/>
      <c r="V986" s="182"/>
      <c r="W986" s="35"/>
    </row>
    <row r="987" spans="1:25">
      <c r="A987" s="40" t="s">
        <v>1006</v>
      </c>
      <c r="B987" s="100"/>
      <c r="C987" s="100"/>
      <c r="D987" s="100"/>
      <c r="E987" s="100"/>
      <c r="F987" s="100"/>
      <c r="G987" s="100"/>
      <c r="H987" s="100"/>
      <c r="I987" s="100"/>
      <c r="J987" s="100"/>
      <c r="K987" s="100"/>
      <c r="L987" s="100"/>
      <c r="M987" s="100"/>
      <c r="N987" s="100"/>
      <c r="O987" s="100"/>
      <c r="P987" s="100"/>
      <c r="Q987" s="100"/>
      <c r="R987" s="100"/>
      <c r="S987" s="100"/>
      <c r="T987" s="100"/>
      <c r="U987" s="100"/>
      <c r="V987" s="179"/>
      <c r="W987" s="140"/>
    </row>
    <row r="988" spans="1:25">
      <c r="A988" s="200" t="s">
        <v>679</v>
      </c>
      <c r="B988" s="52">
        <f t="shared" ref="B988:U988" si="2054">B87</f>
        <v>6.7499999999999999E-3</v>
      </c>
      <c r="C988" s="52">
        <f t="shared" si="2054"/>
        <v>0</v>
      </c>
      <c r="D988" s="52">
        <f t="shared" si="2054"/>
        <v>0</v>
      </c>
      <c r="E988" s="52">
        <f t="shared" si="2054"/>
        <v>6.7499999999999999E-3</v>
      </c>
      <c r="F988" s="52">
        <f t="shared" si="2054"/>
        <v>0</v>
      </c>
      <c r="G988" s="52">
        <f t="shared" si="2054"/>
        <v>0</v>
      </c>
      <c r="H988" s="52">
        <f t="shared" si="2054"/>
        <v>6.7499999999999999E-3</v>
      </c>
      <c r="I988" s="52">
        <f t="shared" si="2054"/>
        <v>0</v>
      </c>
      <c r="J988" s="52">
        <f t="shared" si="2054"/>
        <v>0</v>
      </c>
      <c r="K988" s="52">
        <f t="shared" si="2054"/>
        <v>6.7499999999999999E-3</v>
      </c>
      <c r="L988" s="52">
        <f t="shared" si="2054"/>
        <v>0</v>
      </c>
      <c r="M988" s="52">
        <f t="shared" si="2054"/>
        <v>0</v>
      </c>
      <c r="N988" s="52">
        <f t="shared" si="2054"/>
        <v>6.7499999999999999E-3</v>
      </c>
      <c r="O988" s="52">
        <f t="shared" si="2054"/>
        <v>0</v>
      </c>
      <c r="P988" s="52">
        <f t="shared" si="2054"/>
        <v>0</v>
      </c>
      <c r="Q988" s="52">
        <f t="shared" si="2054"/>
        <v>6.7499999999999999E-3</v>
      </c>
      <c r="R988" s="52">
        <f t="shared" si="2054"/>
        <v>0</v>
      </c>
      <c r="S988" s="52">
        <f t="shared" si="2054"/>
        <v>0</v>
      </c>
      <c r="T988" s="52">
        <f t="shared" si="2054"/>
        <v>6.7499999999999999E-3</v>
      </c>
      <c r="U988" s="52">
        <f t="shared" si="2054"/>
        <v>0</v>
      </c>
      <c r="V988" s="180">
        <f>SUM(B988:U988)</f>
        <v>4.725E-2</v>
      </c>
      <c r="W988" s="53">
        <f>V988/20</f>
        <v>2.3625E-3</v>
      </c>
      <c r="Y988" s="280"/>
    </row>
    <row r="989" spans="1:25" s="3" customFormat="1">
      <c r="A989" s="200" t="s">
        <v>680</v>
      </c>
      <c r="B989" s="52">
        <f>('Scenario 2 Assumptions'!$B$279*('Scenario 2 Assumptions'!$B$313*0.5)/20)+B104</f>
        <v>2.0249999999999999E-3</v>
      </c>
      <c r="C989" s="52">
        <f>('Scenario 2 Assumptions'!$B$279*('Scenario 2 Assumptions'!$B$313*0.5)/20)+C104</f>
        <v>2.0249999999999999E-3</v>
      </c>
      <c r="D989" s="52">
        <f>('Scenario 2 Assumptions'!$B$279*('Scenario 2 Assumptions'!$B$313*0.5)/20)+D104</f>
        <v>2.0249999999999999E-3</v>
      </c>
      <c r="E989" s="52">
        <f>('Scenario 2 Assumptions'!$B$279*('Scenario 2 Assumptions'!$B$313*0.5)/20)+E104</f>
        <v>2.0249999999999999E-3</v>
      </c>
      <c r="F989" s="52">
        <f>('Scenario 2 Assumptions'!$B$279*('Scenario 2 Assumptions'!$B$313*0.5)/20)+F104</f>
        <v>2.0249999999999999E-3</v>
      </c>
      <c r="G989" s="52">
        <f>('Scenario 2 Assumptions'!$B$279*('Scenario 2 Assumptions'!$B$313*0.5)/20)+G104</f>
        <v>2.0249999999999999E-3</v>
      </c>
      <c r="H989" s="52">
        <f>('Scenario 2 Assumptions'!$B$279*('Scenario 2 Assumptions'!$B$313*0.5)/20)+H104</f>
        <v>2.0249999999999999E-3</v>
      </c>
      <c r="I989" s="52">
        <f>('Scenario 2 Assumptions'!$B$279*('Scenario 2 Assumptions'!$B$313*0.5)/20)+I104</f>
        <v>2.0249999999999999E-3</v>
      </c>
      <c r="J989" s="52">
        <f>('Scenario 2 Assumptions'!$B$279*('Scenario 2 Assumptions'!$B$313*0.5)/20)+J104</f>
        <v>2.0249999999999999E-3</v>
      </c>
      <c r="K989" s="52">
        <f>('Scenario 2 Assumptions'!$B$279*('Scenario 2 Assumptions'!$B$313*0.5)/20)+K104</f>
        <v>2.0249999999999999E-3</v>
      </c>
      <c r="L989" s="52">
        <f>('Scenario 2 Assumptions'!$B$279*('Scenario 2 Assumptions'!$B$313*0.5)/20)+L104</f>
        <v>2.0249999999999999E-3</v>
      </c>
      <c r="M989" s="52">
        <f>('Scenario 2 Assumptions'!$B$279*('Scenario 2 Assumptions'!$B$313*0.5)/20)+M104</f>
        <v>2.0249999999999999E-3</v>
      </c>
      <c r="N989" s="52">
        <f>('Scenario 2 Assumptions'!$B$279*('Scenario 2 Assumptions'!$B$313*0.5)/20)+N104</f>
        <v>2.0249999999999999E-3</v>
      </c>
      <c r="O989" s="52">
        <f>('Scenario 2 Assumptions'!$B$279*('Scenario 2 Assumptions'!$B$313*0.5)/20)+O104</f>
        <v>2.0249999999999999E-3</v>
      </c>
      <c r="P989" s="52">
        <f>('Scenario 2 Assumptions'!$B$279*('Scenario 2 Assumptions'!$B$313*0.5)/20)+P104</f>
        <v>2.0249999999999999E-3</v>
      </c>
      <c r="Q989" s="52">
        <f>('Scenario 2 Assumptions'!$B$279*('Scenario 2 Assumptions'!$B$313*0.5)/20)+Q104</f>
        <v>2.0249999999999999E-3</v>
      </c>
      <c r="R989" s="52">
        <f>('Scenario 2 Assumptions'!$B$279*('Scenario 2 Assumptions'!$B$313*0.5)/20)+R104</f>
        <v>2.0249999999999999E-3</v>
      </c>
      <c r="S989" s="52">
        <f>('Scenario 2 Assumptions'!$B$279*('Scenario 2 Assumptions'!$B$313*0.5)/20)+S104</f>
        <v>2.0249999999999999E-3</v>
      </c>
      <c r="T989" s="52">
        <f>('Scenario 2 Assumptions'!$B$279*('Scenario 2 Assumptions'!$B$313*0.5)/20)+T104</f>
        <v>2.0249999999999999E-3</v>
      </c>
      <c r="U989" s="52">
        <f>('Scenario 2 Assumptions'!$B$279*('Scenario 2 Assumptions'!$B$313*0.5)/20)+U104</f>
        <v>2.0249999999999999E-3</v>
      </c>
      <c r="V989" s="180">
        <f t="shared" ref="V989:V990" si="2055">SUM(B989:U989)</f>
        <v>4.0499999999999987E-2</v>
      </c>
      <c r="W989" s="53">
        <f t="shared" ref="W989:W990" si="2056">V989/20</f>
        <v>2.0249999999999995E-3</v>
      </c>
    </row>
    <row r="990" spans="1:25" ht="13.5" customHeight="1">
      <c r="A990" s="49" t="s">
        <v>664</v>
      </c>
      <c r="B990" s="34">
        <f>SUM(B988:B989)</f>
        <v>8.7749999999999998E-3</v>
      </c>
      <c r="C990" s="34">
        <f t="shared" ref="C990" si="2057">SUM(C988:C989)</f>
        <v>2.0249999999999999E-3</v>
      </c>
      <c r="D990" s="34">
        <f t="shared" ref="D990" si="2058">SUM(D988:D989)</f>
        <v>2.0249999999999999E-3</v>
      </c>
      <c r="E990" s="34">
        <f t="shared" ref="E990" si="2059">SUM(E988:E989)</f>
        <v>8.7749999999999998E-3</v>
      </c>
      <c r="F990" s="34">
        <f t="shared" ref="F990" si="2060">SUM(F988:F989)</f>
        <v>2.0249999999999999E-3</v>
      </c>
      <c r="G990" s="34">
        <f t="shared" ref="G990" si="2061">SUM(G988:G989)</f>
        <v>2.0249999999999999E-3</v>
      </c>
      <c r="H990" s="34">
        <f t="shared" ref="H990" si="2062">SUM(H988:H989)</f>
        <v>8.7749999999999998E-3</v>
      </c>
      <c r="I990" s="34">
        <f t="shared" ref="I990" si="2063">SUM(I988:I989)</f>
        <v>2.0249999999999999E-3</v>
      </c>
      <c r="J990" s="34">
        <f t="shared" ref="J990" si="2064">SUM(J988:J989)</f>
        <v>2.0249999999999999E-3</v>
      </c>
      <c r="K990" s="34">
        <f t="shared" ref="K990" si="2065">SUM(K988:K989)</f>
        <v>8.7749999999999998E-3</v>
      </c>
      <c r="L990" s="34">
        <f t="shared" ref="L990" si="2066">SUM(L988:L989)</f>
        <v>2.0249999999999999E-3</v>
      </c>
      <c r="M990" s="34">
        <f t="shared" ref="M990" si="2067">SUM(M988:M989)</f>
        <v>2.0249999999999999E-3</v>
      </c>
      <c r="N990" s="34">
        <f t="shared" ref="N990" si="2068">SUM(N988:N989)</f>
        <v>8.7749999999999998E-3</v>
      </c>
      <c r="O990" s="34">
        <f t="shared" ref="O990" si="2069">SUM(O988:O989)</f>
        <v>2.0249999999999999E-3</v>
      </c>
      <c r="P990" s="34">
        <f t="shared" ref="P990" si="2070">SUM(P988:P989)</f>
        <v>2.0249999999999999E-3</v>
      </c>
      <c r="Q990" s="34">
        <f t="shared" ref="Q990" si="2071">SUM(Q988:Q989)</f>
        <v>8.7749999999999998E-3</v>
      </c>
      <c r="R990" s="34">
        <f t="shared" ref="R990" si="2072">SUM(R988:R989)</f>
        <v>2.0249999999999999E-3</v>
      </c>
      <c r="S990" s="34">
        <f t="shared" ref="S990" si="2073">SUM(S988:S989)</f>
        <v>2.0249999999999999E-3</v>
      </c>
      <c r="T990" s="34">
        <f t="shared" ref="T990" si="2074">SUM(T988:T989)</f>
        <v>8.7749999999999998E-3</v>
      </c>
      <c r="U990" s="34">
        <f t="shared" ref="U990" si="2075">SUM(U988:U989)</f>
        <v>2.0249999999999999E-3</v>
      </c>
      <c r="V990" s="180">
        <f t="shared" si="2055"/>
        <v>8.7749999999999995E-2</v>
      </c>
      <c r="W990" s="53">
        <f t="shared" si="2056"/>
        <v>4.3874999999999999E-3</v>
      </c>
    </row>
    <row r="991" spans="1:25" s="81" customFormat="1">
      <c r="A991" s="134" t="s">
        <v>123</v>
      </c>
      <c r="B991" s="52">
        <v>0.96618357487922713</v>
      </c>
      <c r="C991" s="52">
        <v>0.93351070036640305</v>
      </c>
      <c r="D991" s="52">
        <v>0.90194270566802237</v>
      </c>
      <c r="E991" s="52">
        <v>0.87144222769857238</v>
      </c>
      <c r="F991" s="52">
        <v>0.84197316685852419</v>
      </c>
      <c r="G991" s="52">
        <v>0.81350064430775282</v>
      </c>
      <c r="H991" s="52">
        <v>0.78599096068381913</v>
      </c>
      <c r="I991" s="52">
        <v>0.75941155621625056</v>
      </c>
      <c r="J991" s="52">
        <v>0.73373097218961414</v>
      </c>
      <c r="K991" s="52">
        <v>0.70891881370977217</v>
      </c>
      <c r="L991" s="52">
        <v>0.68494571372924851</v>
      </c>
      <c r="M991" s="52">
        <v>0.66178329828912896</v>
      </c>
      <c r="N991" s="52">
        <v>0.63940415293635666</v>
      </c>
      <c r="O991" s="52">
        <v>0.61778179027667302</v>
      </c>
      <c r="P991" s="52">
        <v>0.59689061862480497</v>
      </c>
      <c r="Q991" s="52">
        <v>0.57670591171478747</v>
      </c>
      <c r="R991" s="52">
        <v>0.55720377943457733</v>
      </c>
      <c r="S991" s="52">
        <v>0.53836113955031628</v>
      </c>
      <c r="T991" s="52">
        <v>0.52015569038677911</v>
      </c>
      <c r="U991" s="52">
        <v>0.50256588443167061</v>
      </c>
      <c r="V991" s="180"/>
      <c r="W991" s="133"/>
    </row>
    <row r="992" spans="1:25" s="81" customFormat="1">
      <c r="A992" s="50" t="s">
        <v>1069</v>
      </c>
      <c r="B992" s="34">
        <f t="shared" ref="B992:U992" si="2076">B991*B990</f>
        <v>8.4782608695652181E-3</v>
      </c>
      <c r="C992" s="34">
        <f t="shared" si="2076"/>
        <v>1.890359168241966E-3</v>
      </c>
      <c r="D992" s="34">
        <f t="shared" si="2076"/>
        <v>1.8264339789777451E-3</v>
      </c>
      <c r="E992" s="34">
        <f t="shared" si="2076"/>
        <v>7.6469055480549728E-3</v>
      </c>
      <c r="F992" s="34">
        <f t="shared" si="2076"/>
        <v>1.7049956628885114E-3</v>
      </c>
      <c r="G992" s="34">
        <f t="shared" si="2076"/>
        <v>1.6473388047231995E-3</v>
      </c>
      <c r="H992" s="34">
        <f t="shared" si="2076"/>
        <v>6.8970706800005124E-3</v>
      </c>
      <c r="I992" s="34">
        <f t="shared" si="2076"/>
        <v>1.5378084013379072E-3</v>
      </c>
      <c r="J992" s="34">
        <f t="shared" si="2076"/>
        <v>1.4858052186839685E-3</v>
      </c>
      <c r="K992" s="34">
        <f t="shared" si="2076"/>
        <v>6.2207625903032502E-3</v>
      </c>
      <c r="L992" s="34">
        <f t="shared" si="2076"/>
        <v>1.3870150703017281E-3</v>
      </c>
      <c r="M992" s="34">
        <f t="shared" si="2076"/>
        <v>1.340111179035486E-3</v>
      </c>
      <c r="N992" s="34">
        <f t="shared" si="2076"/>
        <v>5.6107714420165298E-3</v>
      </c>
      <c r="O992" s="34">
        <f t="shared" si="2076"/>
        <v>1.2510081253102629E-3</v>
      </c>
      <c r="P992" s="34">
        <f t="shared" si="2076"/>
        <v>1.2087035027152299E-3</v>
      </c>
      <c r="Q992" s="34">
        <f t="shared" si="2076"/>
        <v>5.0605943752972601E-3</v>
      </c>
      <c r="R992" s="34">
        <f t="shared" si="2076"/>
        <v>1.128337653355019E-3</v>
      </c>
      <c r="S992" s="34">
        <f t="shared" si="2076"/>
        <v>1.0901813075893903E-3</v>
      </c>
      <c r="T992" s="34">
        <f t="shared" si="2076"/>
        <v>4.5643661831439863E-3</v>
      </c>
      <c r="U992" s="34">
        <f t="shared" si="2076"/>
        <v>1.017695915974133E-3</v>
      </c>
      <c r="V992" s="182">
        <f>SUM(B992:U992)</f>
        <v>6.2994525677516261E-2</v>
      </c>
      <c r="W992" s="35"/>
    </row>
    <row r="993" spans="1:23">
      <c r="A993" s="49"/>
      <c r="B993" s="34"/>
      <c r="C993" s="34"/>
      <c r="D993" s="34"/>
      <c r="E993" s="34"/>
      <c r="F993" s="34"/>
      <c r="G993" s="34"/>
      <c r="H993" s="34"/>
      <c r="I993" s="34"/>
      <c r="J993" s="34"/>
      <c r="K993" s="34"/>
      <c r="L993" s="34"/>
      <c r="M993" s="34"/>
      <c r="N993" s="34"/>
      <c r="O993" s="34"/>
      <c r="P993" s="34"/>
      <c r="Q993" s="34"/>
      <c r="R993" s="34"/>
      <c r="S993" s="34"/>
      <c r="T993" s="34"/>
      <c r="U993" s="34"/>
      <c r="V993" s="182"/>
      <c r="W993" s="35"/>
    </row>
    <row r="994" spans="1:23">
      <c r="A994" s="131" t="s">
        <v>1121</v>
      </c>
      <c r="B994" s="100"/>
      <c r="C994" s="100"/>
      <c r="D994" s="100"/>
      <c r="E994" s="100"/>
      <c r="F994" s="100"/>
      <c r="G994" s="100"/>
      <c r="H994" s="100"/>
      <c r="I994" s="100"/>
      <c r="J994" s="100"/>
      <c r="K994" s="100"/>
      <c r="L994" s="100"/>
      <c r="M994" s="100"/>
      <c r="N994" s="100"/>
      <c r="O994" s="100"/>
      <c r="P994" s="100"/>
      <c r="Q994" s="100"/>
      <c r="R994" s="100"/>
      <c r="S994" s="100"/>
      <c r="T994" s="100"/>
      <c r="U994" s="100"/>
      <c r="V994" s="179"/>
      <c r="W994" s="140"/>
    </row>
    <row r="995" spans="1:23">
      <c r="A995" s="200" t="s">
        <v>679</v>
      </c>
      <c r="B995" s="52">
        <v>0</v>
      </c>
      <c r="C995" s="52">
        <v>0</v>
      </c>
      <c r="D995" s="52">
        <v>0</v>
      </c>
      <c r="E995" s="52">
        <v>0</v>
      </c>
      <c r="F995" s="52">
        <v>0</v>
      </c>
      <c r="G995" s="52">
        <v>0</v>
      </c>
      <c r="H995" s="52">
        <v>0</v>
      </c>
      <c r="I995" s="52">
        <v>0</v>
      </c>
      <c r="J995" s="52">
        <v>0</v>
      </c>
      <c r="K995" s="52">
        <v>0</v>
      </c>
      <c r="L995" s="52">
        <v>0</v>
      </c>
      <c r="M995" s="52">
        <v>0</v>
      </c>
      <c r="N995" s="52">
        <v>0</v>
      </c>
      <c r="O995" s="52">
        <v>0</v>
      </c>
      <c r="P995" s="52">
        <v>0</v>
      </c>
      <c r="Q995" s="52">
        <v>0</v>
      </c>
      <c r="R995" s="52">
        <v>0</v>
      </c>
      <c r="S995" s="52">
        <v>0</v>
      </c>
      <c r="T995" s="52">
        <v>0</v>
      </c>
      <c r="U995" s="52">
        <v>0</v>
      </c>
      <c r="V995" s="180">
        <f>SUM(B995:U995)</f>
        <v>0</v>
      </c>
      <c r="W995" s="53">
        <f>V995/20</f>
        <v>0</v>
      </c>
    </row>
    <row r="996" spans="1:23" s="3" customFormat="1">
      <c r="A996" s="200" t="s">
        <v>680</v>
      </c>
      <c r="B996" s="52">
        <f>('Scenario 2 Assumptions'!$B$279*('Scenario 2 Assumptions'!$B$314*0.5)/20)</f>
        <v>1.6875000000000001E-4</v>
      </c>
      <c r="C996" s="52">
        <f>('Scenario 2 Assumptions'!$B$279*('Scenario 2 Assumptions'!$B$314*0.5)/20)</f>
        <v>1.6875000000000001E-4</v>
      </c>
      <c r="D996" s="52">
        <f>('Scenario 2 Assumptions'!$B$279*('Scenario 2 Assumptions'!$B$314*0.5)/20)</f>
        <v>1.6875000000000001E-4</v>
      </c>
      <c r="E996" s="52">
        <f>('Scenario 2 Assumptions'!$B$279*('Scenario 2 Assumptions'!$B$314*0.5)/20)</f>
        <v>1.6875000000000001E-4</v>
      </c>
      <c r="F996" s="52">
        <f>('Scenario 2 Assumptions'!$B$279*('Scenario 2 Assumptions'!$B$314*0.5)/20)</f>
        <v>1.6875000000000001E-4</v>
      </c>
      <c r="G996" s="52">
        <f>('Scenario 2 Assumptions'!$B$279*('Scenario 2 Assumptions'!$B$314*0.5)/20)</f>
        <v>1.6875000000000001E-4</v>
      </c>
      <c r="H996" s="52">
        <f>('Scenario 2 Assumptions'!$B$279*('Scenario 2 Assumptions'!$B$314*0.5)/20)</f>
        <v>1.6875000000000001E-4</v>
      </c>
      <c r="I996" s="52">
        <f>('Scenario 2 Assumptions'!$B$279*('Scenario 2 Assumptions'!$B$314*0.5)/20)</f>
        <v>1.6875000000000001E-4</v>
      </c>
      <c r="J996" s="52">
        <f>('Scenario 2 Assumptions'!$B$279*('Scenario 2 Assumptions'!$B$314*0.5)/20)</f>
        <v>1.6875000000000001E-4</v>
      </c>
      <c r="K996" s="52">
        <f>('Scenario 2 Assumptions'!$B$279*('Scenario 2 Assumptions'!$B$314*0.5)/20)</f>
        <v>1.6875000000000001E-4</v>
      </c>
      <c r="L996" s="52">
        <f>('Scenario 2 Assumptions'!$B$279*('Scenario 2 Assumptions'!$B$314*0.5)/20)</f>
        <v>1.6875000000000001E-4</v>
      </c>
      <c r="M996" s="52">
        <f>('Scenario 2 Assumptions'!$B$279*('Scenario 2 Assumptions'!$B$314*0.5)/20)</f>
        <v>1.6875000000000001E-4</v>
      </c>
      <c r="N996" s="52">
        <f>('Scenario 2 Assumptions'!$B$279*('Scenario 2 Assumptions'!$B$314*0.5)/20)</f>
        <v>1.6875000000000001E-4</v>
      </c>
      <c r="O996" s="52">
        <f>('Scenario 2 Assumptions'!$B$279*('Scenario 2 Assumptions'!$B$314*0.5)/20)</f>
        <v>1.6875000000000001E-4</v>
      </c>
      <c r="P996" s="52">
        <f>('Scenario 2 Assumptions'!$B$279*('Scenario 2 Assumptions'!$B$314*0.5)/20)</f>
        <v>1.6875000000000001E-4</v>
      </c>
      <c r="Q996" s="52">
        <f>('Scenario 2 Assumptions'!$B$279*('Scenario 2 Assumptions'!$B$314*0.5)/20)</f>
        <v>1.6875000000000001E-4</v>
      </c>
      <c r="R996" s="52">
        <f>('Scenario 2 Assumptions'!$B$279*('Scenario 2 Assumptions'!$B$314*0.5)/20)</f>
        <v>1.6875000000000001E-4</v>
      </c>
      <c r="S996" s="52">
        <f>('Scenario 2 Assumptions'!$B$279*('Scenario 2 Assumptions'!$B$314*0.5)/20)</f>
        <v>1.6875000000000001E-4</v>
      </c>
      <c r="T996" s="52">
        <f>('Scenario 2 Assumptions'!$B$279*('Scenario 2 Assumptions'!$B$314*0.5)/20)</f>
        <v>1.6875000000000001E-4</v>
      </c>
      <c r="U996" s="52">
        <f>('Scenario 2 Assumptions'!$B$279*('Scenario 2 Assumptions'!$B$314*0.5)/20)</f>
        <v>1.6875000000000001E-4</v>
      </c>
      <c r="V996" s="180">
        <f t="shared" ref="V996:V997" si="2077">SUM(B996:U996)</f>
        <v>3.3750000000000008E-3</v>
      </c>
      <c r="W996" s="53">
        <f t="shared" ref="W996:W997" si="2078">V996/20</f>
        <v>1.6875000000000004E-4</v>
      </c>
    </row>
    <row r="997" spans="1:23" ht="13.5" customHeight="1">
      <c r="A997" s="49" t="s">
        <v>664</v>
      </c>
      <c r="B997" s="34">
        <f>SUM(B995:B996)</f>
        <v>1.6875000000000001E-4</v>
      </c>
      <c r="C997" s="34">
        <f t="shared" ref="C997" si="2079">SUM(C995:C996)</f>
        <v>1.6875000000000001E-4</v>
      </c>
      <c r="D997" s="34">
        <f t="shared" ref="D997" si="2080">SUM(D995:D996)</f>
        <v>1.6875000000000001E-4</v>
      </c>
      <c r="E997" s="34">
        <f t="shared" ref="E997" si="2081">SUM(E995:E996)</f>
        <v>1.6875000000000001E-4</v>
      </c>
      <c r="F997" s="34">
        <f t="shared" ref="F997" si="2082">SUM(F995:F996)</f>
        <v>1.6875000000000001E-4</v>
      </c>
      <c r="G997" s="34">
        <f t="shared" ref="G997" si="2083">SUM(G995:G996)</f>
        <v>1.6875000000000001E-4</v>
      </c>
      <c r="H997" s="34">
        <f t="shared" ref="H997" si="2084">SUM(H995:H996)</f>
        <v>1.6875000000000001E-4</v>
      </c>
      <c r="I997" s="34">
        <f t="shared" ref="I997" si="2085">SUM(I995:I996)</f>
        <v>1.6875000000000001E-4</v>
      </c>
      <c r="J997" s="34">
        <f t="shared" ref="J997" si="2086">SUM(J995:J996)</f>
        <v>1.6875000000000001E-4</v>
      </c>
      <c r="K997" s="34">
        <f t="shared" ref="K997" si="2087">SUM(K995:K996)</f>
        <v>1.6875000000000001E-4</v>
      </c>
      <c r="L997" s="34">
        <f t="shared" ref="L997" si="2088">SUM(L995:L996)</f>
        <v>1.6875000000000001E-4</v>
      </c>
      <c r="M997" s="34">
        <f t="shared" ref="M997" si="2089">SUM(M995:M996)</f>
        <v>1.6875000000000001E-4</v>
      </c>
      <c r="N997" s="34">
        <f t="shared" ref="N997" si="2090">SUM(N995:N996)</f>
        <v>1.6875000000000001E-4</v>
      </c>
      <c r="O997" s="34">
        <f t="shared" ref="O997" si="2091">SUM(O995:O996)</f>
        <v>1.6875000000000001E-4</v>
      </c>
      <c r="P997" s="34">
        <f t="shared" ref="P997" si="2092">SUM(P995:P996)</f>
        <v>1.6875000000000001E-4</v>
      </c>
      <c r="Q997" s="34">
        <f t="shared" ref="Q997" si="2093">SUM(Q995:Q996)</f>
        <v>1.6875000000000001E-4</v>
      </c>
      <c r="R997" s="34">
        <f t="shared" ref="R997" si="2094">SUM(R995:R996)</f>
        <v>1.6875000000000001E-4</v>
      </c>
      <c r="S997" s="34">
        <f t="shared" ref="S997" si="2095">SUM(S995:S996)</f>
        <v>1.6875000000000001E-4</v>
      </c>
      <c r="T997" s="34">
        <f t="shared" ref="T997" si="2096">SUM(T995:T996)</f>
        <v>1.6875000000000001E-4</v>
      </c>
      <c r="U997" s="34">
        <f t="shared" ref="U997" si="2097">SUM(U995:U996)</f>
        <v>1.6875000000000001E-4</v>
      </c>
      <c r="V997" s="180">
        <f t="shared" si="2077"/>
        <v>3.3750000000000008E-3</v>
      </c>
      <c r="W997" s="53">
        <f t="shared" si="2078"/>
        <v>1.6875000000000004E-4</v>
      </c>
    </row>
    <row r="998" spans="1:23" s="81" customFormat="1">
      <c r="A998" s="134" t="s">
        <v>123</v>
      </c>
      <c r="B998" s="52">
        <v>0.96618357487922713</v>
      </c>
      <c r="C998" s="52">
        <v>0.93351070036640305</v>
      </c>
      <c r="D998" s="52">
        <v>0.90194270566802237</v>
      </c>
      <c r="E998" s="52">
        <v>0.87144222769857238</v>
      </c>
      <c r="F998" s="52">
        <v>0.84197316685852419</v>
      </c>
      <c r="G998" s="52">
        <v>0.81350064430775282</v>
      </c>
      <c r="H998" s="52">
        <v>0.78599096068381913</v>
      </c>
      <c r="I998" s="52">
        <v>0.75941155621625056</v>
      </c>
      <c r="J998" s="52">
        <v>0.73373097218961414</v>
      </c>
      <c r="K998" s="52">
        <v>0.70891881370977217</v>
      </c>
      <c r="L998" s="52">
        <v>0.68494571372924851</v>
      </c>
      <c r="M998" s="52">
        <v>0.66178329828912896</v>
      </c>
      <c r="N998" s="52">
        <v>0.63940415293635666</v>
      </c>
      <c r="O998" s="52">
        <v>0.61778179027667302</v>
      </c>
      <c r="P998" s="52">
        <v>0.59689061862480497</v>
      </c>
      <c r="Q998" s="52">
        <v>0.57670591171478747</v>
      </c>
      <c r="R998" s="52">
        <v>0.55720377943457733</v>
      </c>
      <c r="S998" s="52">
        <v>0.53836113955031628</v>
      </c>
      <c r="T998" s="52">
        <v>0.52015569038677911</v>
      </c>
      <c r="U998" s="52">
        <v>0.50256588443167061</v>
      </c>
      <c r="V998" s="180"/>
      <c r="W998" s="133"/>
    </row>
    <row r="999" spans="1:23" s="81" customFormat="1">
      <c r="A999" s="50" t="s">
        <v>1069</v>
      </c>
      <c r="B999" s="34">
        <f t="shared" ref="B999:U999" si="2098">B998*B997</f>
        <v>1.6304347826086958E-4</v>
      </c>
      <c r="C999" s="34">
        <f t="shared" si="2098"/>
        <v>1.5752993068683053E-4</v>
      </c>
      <c r="D999" s="34">
        <f t="shared" si="2098"/>
        <v>1.5220283158147877E-4</v>
      </c>
      <c r="E999" s="34">
        <f t="shared" si="2098"/>
        <v>1.4705587592413411E-4</v>
      </c>
      <c r="F999" s="34">
        <f t="shared" si="2098"/>
        <v>1.4208297190737598E-4</v>
      </c>
      <c r="G999" s="34">
        <f t="shared" si="2098"/>
        <v>1.372782337269333E-4</v>
      </c>
      <c r="H999" s="34">
        <f t="shared" si="2098"/>
        <v>1.3263597461539447E-4</v>
      </c>
      <c r="I999" s="34">
        <f t="shared" si="2098"/>
        <v>1.281507001114923E-4</v>
      </c>
      <c r="J999" s="34">
        <f t="shared" si="2098"/>
        <v>1.238171015569974E-4</v>
      </c>
      <c r="K999" s="34">
        <f t="shared" si="2098"/>
        <v>1.1963004981352407E-4</v>
      </c>
      <c r="L999" s="34">
        <f t="shared" si="2098"/>
        <v>1.1558458919181069E-4</v>
      </c>
      <c r="M999" s="34">
        <f t="shared" si="2098"/>
        <v>1.1167593158629052E-4</v>
      </c>
      <c r="N999" s="34">
        <f t="shared" si="2098"/>
        <v>1.0789945080801019E-4</v>
      </c>
      <c r="O999" s="34">
        <f t="shared" si="2098"/>
        <v>1.0425067710918858E-4</v>
      </c>
      <c r="P999" s="34">
        <f t="shared" si="2098"/>
        <v>1.0072529189293584E-4</v>
      </c>
      <c r="Q999" s="34">
        <f t="shared" si="2098"/>
        <v>9.7319122601870396E-5</v>
      </c>
      <c r="R999" s="34">
        <f t="shared" si="2098"/>
        <v>9.402813777958493E-5</v>
      </c>
      <c r="S999" s="34">
        <f t="shared" si="2098"/>
        <v>9.0848442299115879E-5</v>
      </c>
      <c r="T999" s="34">
        <f t="shared" si="2098"/>
        <v>8.7776272752768973E-5</v>
      </c>
      <c r="U999" s="34">
        <f t="shared" si="2098"/>
        <v>8.4807992997844422E-5</v>
      </c>
      <c r="V999" s="182">
        <f>SUM(B999:U999)</f>
        <v>2.3983430572044511E-3</v>
      </c>
      <c r="W999" s="35"/>
    </row>
    <row r="1000" spans="1:23">
      <c r="A1000" s="49"/>
      <c r="B1000" s="34"/>
      <c r="C1000" s="34"/>
      <c r="D1000" s="34"/>
      <c r="E1000" s="34"/>
      <c r="F1000" s="34"/>
      <c r="G1000" s="34"/>
      <c r="H1000" s="34"/>
      <c r="I1000" s="34"/>
      <c r="J1000" s="34"/>
      <c r="K1000" s="34"/>
      <c r="L1000" s="34"/>
      <c r="M1000" s="34"/>
      <c r="N1000" s="34"/>
      <c r="O1000" s="34"/>
      <c r="P1000" s="34"/>
      <c r="Q1000" s="34"/>
      <c r="R1000" s="34"/>
      <c r="S1000" s="34"/>
      <c r="T1000" s="34"/>
      <c r="U1000" s="34"/>
      <c r="V1000" s="182"/>
      <c r="W1000" s="35"/>
    </row>
    <row r="1001" spans="1:23">
      <c r="A1001" s="131" t="s">
        <v>1122</v>
      </c>
      <c r="B1001" s="100"/>
      <c r="C1001" s="100"/>
      <c r="D1001" s="100"/>
      <c r="E1001" s="100"/>
      <c r="F1001" s="100"/>
      <c r="G1001" s="100"/>
      <c r="H1001" s="100"/>
      <c r="I1001" s="100"/>
      <c r="J1001" s="100"/>
      <c r="K1001" s="100"/>
      <c r="L1001" s="100"/>
      <c r="M1001" s="100"/>
      <c r="N1001" s="100"/>
      <c r="O1001" s="100"/>
      <c r="P1001" s="100"/>
      <c r="Q1001" s="100"/>
      <c r="R1001" s="100"/>
      <c r="S1001" s="100"/>
      <c r="T1001" s="100"/>
      <c r="U1001" s="100"/>
      <c r="V1001" s="179"/>
      <c r="W1001" s="140"/>
    </row>
    <row r="1002" spans="1:23">
      <c r="A1002" s="200" t="s">
        <v>679</v>
      </c>
      <c r="B1002" s="52">
        <v>0</v>
      </c>
      <c r="C1002" s="52">
        <v>0</v>
      </c>
      <c r="D1002" s="52">
        <v>0</v>
      </c>
      <c r="E1002" s="52">
        <v>0</v>
      </c>
      <c r="F1002" s="52">
        <v>0</v>
      </c>
      <c r="G1002" s="52">
        <v>0</v>
      </c>
      <c r="H1002" s="52">
        <v>0</v>
      </c>
      <c r="I1002" s="52">
        <v>0</v>
      </c>
      <c r="J1002" s="52">
        <v>0</v>
      </c>
      <c r="K1002" s="52">
        <v>0</v>
      </c>
      <c r="L1002" s="52">
        <v>0</v>
      </c>
      <c r="M1002" s="52">
        <v>0</v>
      </c>
      <c r="N1002" s="52">
        <v>0</v>
      </c>
      <c r="O1002" s="52">
        <v>0</v>
      </c>
      <c r="P1002" s="52">
        <v>0</v>
      </c>
      <c r="Q1002" s="52">
        <v>0</v>
      </c>
      <c r="R1002" s="52">
        <v>0</v>
      </c>
      <c r="S1002" s="52">
        <v>0</v>
      </c>
      <c r="T1002" s="52">
        <v>0</v>
      </c>
      <c r="U1002" s="52">
        <v>0</v>
      </c>
      <c r="V1002" s="180">
        <f>SUM(B1002:U1002)</f>
        <v>0</v>
      </c>
      <c r="W1002" s="53">
        <f>V1002/20</f>
        <v>0</v>
      </c>
    </row>
    <row r="1003" spans="1:23" s="3" customFormat="1">
      <c r="A1003" s="200" t="s">
        <v>680</v>
      </c>
      <c r="B1003" s="52">
        <f>('Scenario 2 Assumptions'!$B$279*('Scenario 2 Assumptions'!$B$315*0.5)/20)</f>
        <v>3.3750000000000002E-4</v>
      </c>
      <c r="C1003" s="52">
        <f>('Scenario 2 Assumptions'!$B$279*('Scenario 2 Assumptions'!$B$315*0.5)/20)</f>
        <v>3.3750000000000002E-4</v>
      </c>
      <c r="D1003" s="52">
        <f>('Scenario 2 Assumptions'!$B$279*('Scenario 2 Assumptions'!$B$315*0.5)/20)</f>
        <v>3.3750000000000002E-4</v>
      </c>
      <c r="E1003" s="52">
        <f>('Scenario 2 Assumptions'!$B$279*('Scenario 2 Assumptions'!$B$315*0.5)/20)</f>
        <v>3.3750000000000002E-4</v>
      </c>
      <c r="F1003" s="52">
        <f>('Scenario 2 Assumptions'!$B$279*('Scenario 2 Assumptions'!$B$315*0.5)/20)</f>
        <v>3.3750000000000002E-4</v>
      </c>
      <c r="G1003" s="52">
        <f>('Scenario 2 Assumptions'!$B$279*('Scenario 2 Assumptions'!$B$315*0.5)/20)</f>
        <v>3.3750000000000002E-4</v>
      </c>
      <c r="H1003" s="52">
        <f>('Scenario 2 Assumptions'!$B$279*('Scenario 2 Assumptions'!$B$315*0.5)/20)</f>
        <v>3.3750000000000002E-4</v>
      </c>
      <c r="I1003" s="52">
        <f>('Scenario 2 Assumptions'!$B$279*('Scenario 2 Assumptions'!$B$315*0.5)/20)</f>
        <v>3.3750000000000002E-4</v>
      </c>
      <c r="J1003" s="52">
        <f>('Scenario 2 Assumptions'!$B$279*('Scenario 2 Assumptions'!$B$315*0.5)/20)</f>
        <v>3.3750000000000002E-4</v>
      </c>
      <c r="K1003" s="52">
        <f>('Scenario 2 Assumptions'!$B$279*('Scenario 2 Assumptions'!$B$315*0.5)/20)</f>
        <v>3.3750000000000002E-4</v>
      </c>
      <c r="L1003" s="52">
        <f>('Scenario 2 Assumptions'!$B$279*('Scenario 2 Assumptions'!$B$315*0.5)/20)</f>
        <v>3.3750000000000002E-4</v>
      </c>
      <c r="M1003" s="52">
        <f>('Scenario 2 Assumptions'!$B$279*('Scenario 2 Assumptions'!$B$315*0.5)/20)</f>
        <v>3.3750000000000002E-4</v>
      </c>
      <c r="N1003" s="52">
        <f>('Scenario 2 Assumptions'!$B$279*('Scenario 2 Assumptions'!$B$315*0.5)/20)</f>
        <v>3.3750000000000002E-4</v>
      </c>
      <c r="O1003" s="52">
        <f>('Scenario 2 Assumptions'!$B$279*('Scenario 2 Assumptions'!$B$315*0.5)/20)</f>
        <v>3.3750000000000002E-4</v>
      </c>
      <c r="P1003" s="52">
        <f>('Scenario 2 Assumptions'!$B$279*('Scenario 2 Assumptions'!$B$315*0.5)/20)</f>
        <v>3.3750000000000002E-4</v>
      </c>
      <c r="Q1003" s="52">
        <f>('Scenario 2 Assumptions'!$B$279*('Scenario 2 Assumptions'!$B$315*0.5)/20)</f>
        <v>3.3750000000000002E-4</v>
      </c>
      <c r="R1003" s="52">
        <f>('Scenario 2 Assumptions'!$B$279*('Scenario 2 Assumptions'!$B$315*0.5)/20)</f>
        <v>3.3750000000000002E-4</v>
      </c>
      <c r="S1003" s="52">
        <f>('Scenario 2 Assumptions'!$B$279*('Scenario 2 Assumptions'!$B$315*0.5)/20)</f>
        <v>3.3750000000000002E-4</v>
      </c>
      <c r="T1003" s="52">
        <f>('Scenario 2 Assumptions'!$B$279*('Scenario 2 Assumptions'!$B$315*0.5)/20)</f>
        <v>3.3750000000000002E-4</v>
      </c>
      <c r="U1003" s="52">
        <f>('Scenario 2 Assumptions'!$B$279*('Scenario 2 Assumptions'!$B$315*0.5)/20)</f>
        <v>3.3750000000000002E-4</v>
      </c>
      <c r="V1003" s="180">
        <f t="shared" ref="V1003:V1004" si="2099">SUM(B1003:U1003)</f>
        <v>6.7500000000000017E-3</v>
      </c>
      <c r="W1003" s="53">
        <f t="shared" ref="W1003:W1004" si="2100">V1003/20</f>
        <v>3.3750000000000007E-4</v>
      </c>
    </row>
    <row r="1004" spans="1:23" ht="13.5" customHeight="1">
      <c r="A1004" s="49" t="s">
        <v>664</v>
      </c>
      <c r="B1004" s="34">
        <f>SUM(B1002:B1003)</f>
        <v>3.3750000000000002E-4</v>
      </c>
      <c r="C1004" s="34">
        <f t="shared" ref="C1004" si="2101">SUM(C1002:C1003)</f>
        <v>3.3750000000000002E-4</v>
      </c>
      <c r="D1004" s="34">
        <f t="shared" ref="D1004" si="2102">SUM(D1002:D1003)</f>
        <v>3.3750000000000002E-4</v>
      </c>
      <c r="E1004" s="34">
        <f t="shared" ref="E1004" si="2103">SUM(E1002:E1003)</f>
        <v>3.3750000000000002E-4</v>
      </c>
      <c r="F1004" s="34">
        <f t="shared" ref="F1004" si="2104">SUM(F1002:F1003)</f>
        <v>3.3750000000000002E-4</v>
      </c>
      <c r="G1004" s="34">
        <f t="shared" ref="G1004" si="2105">SUM(G1002:G1003)</f>
        <v>3.3750000000000002E-4</v>
      </c>
      <c r="H1004" s="34">
        <f t="shared" ref="H1004" si="2106">SUM(H1002:H1003)</f>
        <v>3.3750000000000002E-4</v>
      </c>
      <c r="I1004" s="34">
        <f t="shared" ref="I1004" si="2107">SUM(I1002:I1003)</f>
        <v>3.3750000000000002E-4</v>
      </c>
      <c r="J1004" s="34">
        <f t="shared" ref="J1004" si="2108">SUM(J1002:J1003)</f>
        <v>3.3750000000000002E-4</v>
      </c>
      <c r="K1004" s="34">
        <f t="shared" ref="K1004" si="2109">SUM(K1002:K1003)</f>
        <v>3.3750000000000002E-4</v>
      </c>
      <c r="L1004" s="34">
        <f t="shared" ref="L1004" si="2110">SUM(L1002:L1003)</f>
        <v>3.3750000000000002E-4</v>
      </c>
      <c r="M1004" s="34">
        <f t="shared" ref="M1004" si="2111">SUM(M1002:M1003)</f>
        <v>3.3750000000000002E-4</v>
      </c>
      <c r="N1004" s="34">
        <f t="shared" ref="N1004" si="2112">SUM(N1002:N1003)</f>
        <v>3.3750000000000002E-4</v>
      </c>
      <c r="O1004" s="34">
        <f t="shared" ref="O1004" si="2113">SUM(O1002:O1003)</f>
        <v>3.3750000000000002E-4</v>
      </c>
      <c r="P1004" s="34">
        <f t="shared" ref="P1004" si="2114">SUM(P1002:P1003)</f>
        <v>3.3750000000000002E-4</v>
      </c>
      <c r="Q1004" s="34">
        <f t="shared" ref="Q1004" si="2115">SUM(Q1002:Q1003)</f>
        <v>3.3750000000000002E-4</v>
      </c>
      <c r="R1004" s="34">
        <f t="shared" ref="R1004" si="2116">SUM(R1002:R1003)</f>
        <v>3.3750000000000002E-4</v>
      </c>
      <c r="S1004" s="34">
        <f t="shared" ref="S1004" si="2117">SUM(S1002:S1003)</f>
        <v>3.3750000000000002E-4</v>
      </c>
      <c r="T1004" s="34">
        <f t="shared" ref="T1004" si="2118">SUM(T1002:T1003)</f>
        <v>3.3750000000000002E-4</v>
      </c>
      <c r="U1004" s="34">
        <f t="shared" ref="U1004" si="2119">SUM(U1002:U1003)</f>
        <v>3.3750000000000002E-4</v>
      </c>
      <c r="V1004" s="180">
        <f t="shared" si="2099"/>
        <v>6.7500000000000017E-3</v>
      </c>
      <c r="W1004" s="53">
        <f t="shared" si="2100"/>
        <v>3.3750000000000007E-4</v>
      </c>
    </row>
    <row r="1005" spans="1:23" s="81" customFormat="1">
      <c r="A1005" s="134" t="s">
        <v>123</v>
      </c>
      <c r="B1005" s="52">
        <v>0.96618357487922713</v>
      </c>
      <c r="C1005" s="52">
        <v>0.93351070036640305</v>
      </c>
      <c r="D1005" s="52">
        <v>0.90194270566802237</v>
      </c>
      <c r="E1005" s="52">
        <v>0.87144222769857238</v>
      </c>
      <c r="F1005" s="52">
        <v>0.84197316685852419</v>
      </c>
      <c r="G1005" s="52">
        <v>0.81350064430775282</v>
      </c>
      <c r="H1005" s="52">
        <v>0.78599096068381913</v>
      </c>
      <c r="I1005" s="52">
        <v>0.75941155621625056</v>
      </c>
      <c r="J1005" s="52">
        <v>0.73373097218961414</v>
      </c>
      <c r="K1005" s="52">
        <v>0.70891881370977217</v>
      </c>
      <c r="L1005" s="52">
        <v>0.68494571372924851</v>
      </c>
      <c r="M1005" s="52">
        <v>0.66178329828912896</v>
      </c>
      <c r="N1005" s="52">
        <v>0.63940415293635666</v>
      </c>
      <c r="O1005" s="52">
        <v>0.61778179027667302</v>
      </c>
      <c r="P1005" s="52">
        <v>0.59689061862480497</v>
      </c>
      <c r="Q1005" s="52">
        <v>0.57670591171478747</v>
      </c>
      <c r="R1005" s="52">
        <v>0.55720377943457733</v>
      </c>
      <c r="S1005" s="52">
        <v>0.53836113955031628</v>
      </c>
      <c r="T1005" s="52">
        <v>0.52015569038677911</v>
      </c>
      <c r="U1005" s="52">
        <v>0.50256588443167061</v>
      </c>
      <c r="V1005" s="180"/>
      <c r="W1005" s="133"/>
    </row>
    <row r="1006" spans="1:23" s="81" customFormat="1">
      <c r="A1006" s="50" t="s">
        <v>1069</v>
      </c>
      <c r="B1006" s="34">
        <f t="shared" ref="B1006:U1006" si="2120">B1005*B1004</f>
        <v>3.2608695652173916E-4</v>
      </c>
      <c r="C1006" s="34">
        <f t="shared" si="2120"/>
        <v>3.1505986137366106E-4</v>
      </c>
      <c r="D1006" s="34">
        <f t="shared" si="2120"/>
        <v>3.0440566316295754E-4</v>
      </c>
      <c r="E1006" s="34">
        <f t="shared" si="2120"/>
        <v>2.9411175184826822E-4</v>
      </c>
      <c r="F1006" s="34">
        <f t="shared" si="2120"/>
        <v>2.8416594381475195E-4</v>
      </c>
      <c r="G1006" s="34">
        <f t="shared" si="2120"/>
        <v>2.745564674538666E-4</v>
      </c>
      <c r="H1006" s="34">
        <f t="shared" si="2120"/>
        <v>2.6527194923078894E-4</v>
      </c>
      <c r="I1006" s="34">
        <f t="shared" si="2120"/>
        <v>2.5630140022298459E-4</v>
      </c>
      <c r="J1006" s="34">
        <f t="shared" si="2120"/>
        <v>2.476342031139948E-4</v>
      </c>
      <c r="K1006" s="34">
        <f t="shared" si="2120"/>
        <v>2.3926009962704813E-4</v>
      </c>
      <c r="L1006" s="34">
        <f t="shared" si="2120"/>
        <v>2.3116917838362139E-4</v>
      </c>
      <c r="M1006" s="34">
        <f t="shared" si="2120"/>
        <v>2.2335186317258104E-4</v>
      </c>
      <c r="N1006" s="34">
        <f t="shared" si="2120"/>
        <v>2.1579890161602038E-4</v>
      </c>
      <c r="O1006" s="34">
        <f t="shared" si="2120"/>
        <v>2.0850135421837717E-4</v>
      </c>
      <c r="P1006" s="34">
        <f t="shared" si="2120"/>
        <v>2.0145058378587169E-4</v>
      </c>
      <c r="Q1006" s="34">
        <f t="shared" si="2120"/>
        <v>1.9463824520374079E-4</v>
      </c>
      <c r="R1006" s="34">
        <f t="shared" si="2120"/>
        <v>1.8805627555916986E-4</v>
      </c>
      <c r="S1006" s="34">
        <f t="shared" si="2120"/>
        <v>1.8169688459823176E-4</v>
      </c>
      <c r="T1006" s="34">
        <f t="shared" si="2120"/>
        <v>1.7555254550553795E-4</v>
      </c>
      <c r="U1006" s="34">
        <f t="shared" si="2120"/>
        <v>1.6961598599568884E-4</v>
      </c>
      <c r="V1006" s="182">
        <f>SUM(B1006:U1006)</f>
        <v>4.7966861144089021E-3</v>
      </c>
      <c r="W1006" s="35"/>
    </row>
    <row r="1007" spans="1:23" s="81" customFormat="1">
      <c r="A1007" s="49"/>
      <c r="B1007" s="34"/>
      <c r="C1007" s="34"/>
      <c r="D1007" s="34"/>
      <c r="E1007" s="34"/>
      <c r="F1007" s="34"/>
      <c r="G1007" s="34"/>
      <c r="H1007" s="34"/>
      <c r="I1007" s="34"/>
      <c r="J1007" s="34"/>
      <c r="K1007" s="34"/>
      <c r="L1007" s="34"/>
      <c r="M1007" s="34"/>
      <c r="N1007" s="34"/>
      <c r="O1007" s="34"/>
      <c r="P1007" s="34"/>
      <c r="Q1007" s="34"/>
      <c r="R1007" s="34"/>
      <c r="S1007" s="34"/>
      <c r="T1007" s="34"/>
      <c r="U1007" s="34"/>
      <c r="V1007" s="182"/>
      <c r="W1007" s="35"/>
    </row>
    <row r="1008" spans="1:23">
      <c r="A1008" s="42" t="s">
        <v>1040</v>
      </c>
      <c r="B1008" s="100"/>
      <c r="C1008" s="100"/>
      <c r="D1008" s="100"/>
      <c r="E1008" s="100"/>
      <c r="F1008" s="100"/>
      <c r="G1008" s="100"/>
      <c r="H1008" s="100"/>
      <c r="I1008" s="100"/>
      <c r="J1008" s="100"/>
      <c r="K1008" s="100"/>
      <c r="L1008" s="100"/>
      <c r="M1008" s="100"/>
      <c r="N1008" s="100"/>
      <c r="O1008" s="100"/>
      <c r="P1008" s="100"/>
      <c r="Q1008" s="100"/>
      <c r="R1008" s="100"/>
      <c r="S1008" s="100"/>
      <c r="T1008" s="100"/>
      <c r="U1008" s="100"/>
      <c r="V1008" s="179"/>
      <c r="W1008" s="140"/>
    </row>
    <row r="1009" spans="1:23">
      <c r="A1009" s="200" t="s">
        <v>679</v>
      </c>
      <c r="B1009" s="52">
        <v>0</v>
      </c>
      <c r="C1009" s="52">
        <v>0</v>
      </c>
      <c r="D1009" s="52">
        <v>0</v>
      </c>
      <c r="E1009" s="52">
        <v>0</v>
      </c>
      <c r="F1009" s="52">
        <v>0</v>
      </c>
      <c r="G1009" s="52">
        <v>0</v>
      </c>
      <c r="H1009" s="52">
        <v>0</v>
      </c>
      <c r="I1009" s="52">
        <v>0</v>
      </c>
      <c r="J1009" s="52">
        <v>0</v>
      </c>
      <c r="K1009" s="52">
        <v>0</v>
      </c>
      <c r="L1009" s="52">
        <v>0</v>
      </c>
      <c r="M1009" s="52">
        <v>0</v>
      </c>
      <c r="N1009" s="52">
        <v>0</v>
      </c>
      <c r="O1009" s="52">
        <v>0</v>
      </c>
      <c r="P1009" s="52">
        <v>0</v>
      </c>
      <c r="Q1009" s="52">
        <v>0</v>
      </c>
      <c r="R1009" s="52">
        <v>0</v>
      </c>
      <c r="S1009" s="52">
        <v>0</v>
      </c>
      <c r="T1009" s="52">
        <v>0</v>
      </c>
      <c r="U1009" s="52">
        <v>0</v>
      </c>
      <c r="V1009" s="180">
        <f>SUM(B1009:U1009)</f>
        <v>0</v>
      </c>
      <c r="W1009" s="53">
        <f>V1009/20</f>
        <v>0</v>
      </c>
    </row>
    <row r="1010" spans="1:23">
      <c r="A1010" s="200" t="s">
        <v>680</v>
      </c>
      <c r="B1010" s="52">
        <f t="shared" ref="B1010:U1010" si="2121">B102</f>
        <v>1.3500000000000001E-3</v>
      </c>
      <c r="C1010" s="52">
        <f t="shared" si="2121"/>
        <v>1.3500000000000001E-3</v>
      </c>
      <c r="D1010" s="52">
        <f t="shared" si="2121"/>
        <v>1.3500000000000001E-3</v>
      </c>
      <c r="E1010" s="52">
        <f t="shared" si="2121"/>
        <v>1.3500000000000001E-3</v>
      </c>
      <c r="F1010" s="52">
        <f t="shared" si="2121"/>
        <v>1.3500000000000001E-3</v>
      </c>
      <c r="G1010" s="52">
        <f t="shared" si="2121"/>
        <v>1.3500000000000001E-3</v>
      </c>
      <c r="H1010" s="52">
        <f t="shared" si="2121"/>
        <v>1.3500000000000001E-3</v>
      </c>
      <c r="I1010" s="52">
        <f t="shared" si="2121"/>
        <v>1.3500000000000001E-3</v>
      </c>
      <c r="J1010" s="52">
        <f t="shared" si="2121"/>
        <v>1.3500000000000001E-3</v>
      </c>
      <c r="K1010" s="52">
        <f t="shared" si="2121"/>
        <v>1.3500000000000001E-3</v>
      </c>
      <c r="L1010" s="52">
        <f t="shared" si="2121"/>
        <v>1.3500000000000001E-3</v>
      </c>
      <c r="M1010" s="52">
        <f t="shared" si="2121"/>
        <v>1.3500000000000001E-3</v>
      </c>
      <c r="N1010" s="52">
        <f t="shared" si="2121"/>
        <v>1.3500000000000001E-3</v>
      </c>
      <c r="O1010" s="52">
        <f t="shared" si="2121"/>
        <v>1.3500000000000001E-3</v>
      </c>
      <c r="P1010" s="52">
        <f t="shared" si="2121"/>
        <v>1.3500000000000001E-3</v>
      </c>
      <c r="Q1010" s="52">
        <f t="shared" si="2121"/>
        <v>1.3500000000000001E-3</v>
      </c>
      <c r="R1010" s="52">
        <f t="shared" si="2121"/>
        <v>1.3500000000000001E-3</v>
      </c>
      <c r="S1010" s="52">
        <f t="shared" si="2121"/>
        <v>1.3500000000000001E-3</v>
      </c>
      <c r="T1010" s="52">
        <f t="shared" si="2121"/>
        <v>1.3500000000000001E-3</v>
      </c>
      <c r="U1010" s="52">
        <f t="shared" si="2121"/>
        <v>1.3500000000000001E-3</v>
      </c>
      <c r="V1010" s="180">
        <f t="shared" ref="V1010:V1011" si="2122">SUM(B1010:U1010)</f>
        <v>2.7000000000000007E-2</v>
      </c>
      <c r="W1010" s="53">
        <f t="shared" ref="W1010:W1011" si="2123">V1010/20</f>
        <v>1.3500000000000003E-3</v>
      </c>
    </row>
    <row r="1011" spans="1:23" s="3" customFormat="1">
      <c r="A1011" s="49" t="s">
        <v>664</v>
      </c>
      <c r="B1011" s="34">
        <f>SUM(B1009:B1010)</f>
        <v>1.3500000000000001E-3</v>
      </c>
      <c r="C1011" s="34">
        <f t="shared" ref="C1011" si="2124">SUM(C1009:C1010)</f>
        <v>1.3500000000000001E-3</v>
      </c>
      <c r="D1011" s="34">
        <f t="shared" ref="D1011" si="2125">SUM(D1009:D1010)</f>
        <v>1.3500000000000001E-3</v>
      </c>
      <c r="E1011" s="34">
        <f t="shared" ref="E1011" si="2126">SUM(E1009:E1010)</f>
        <v>1.3500000000000001E-3</v>
      </c>
      <c r="F1011" s="34">
        <f t="shared" ref="F1011" si="2127">SUM(F1009:F1010)</f>
        <v>1.3500000000000001E-3</v>
      </c>
      <c r="G1011" s="34">
        <f t="shared" ref="G1011" si="2128">SUM(G1009:G1010)</f>
        <v>1.3500000000000001E-3</v>
      </c>
      <c r="H1011" s="34">
        <f t="shared" ref="H1011" si="2129">SUM(H1009:H1010)</f>
        <v>1.3500000000000001E-3</v>
      </c>
      <c r="I1011" s="34">
        <f t="shared" ref="I1011" si="2130">SUM(I1009:I1010)</f>
        <v>1.3500000000000001E-3</v>
      </c>
      <c r="J1011" s="34">
        <f t="shared" ref="J1011" si="2131">SUM(J1009:J1010)</f>
        <v>1.3500000000000001E-3</v>
      </c>
      <c r="K1011" s="34">
        <f t="shared" ref="K1011" si="2132">SUM(K1009:K1010)</f>
        <v>1.3500000000000001E-3</v>
      </c>
      <c r="L1011" s="34">
        <f t="shared" ref="L1011" si="2133">SUM(L1009:L1010)</f>
        <v>1.3500000000000001E-3</v>
      </c>
      <c r="M1011" s="34">
        <f t="shared" ref="M1011" si="2134">SUM(M1009:M1010)</f>
        <v>1.3500000000000001E-3</v>
      </c>
      <c r="N1011" s="34">
        <f t="shared" ref="N1011" si="2135">SUM(N1009:N1010)</f>
        <v>1.3500000000000001E-3</v>
      </c>
      <c r="O1011" s="34">
        <f t="shared" ref="O1011" si="2136">SUM(O1009:O1010)</f>
        <v>1.3500000000000001E-3</v>
      </c>
      <c r="P1011" s="34">
        <f t="shared" ref="P1011" si="2137">SUM(P1009:P1010)</f>
        <v>1.3500000000000001E-3</v>
      </c>
      <c r="Q1011" s="34">
        <f t="shared" ref="Q1011" si="2138">SUM(Q1009:Q1010)</f>
        <v>1.3500000000000001E-3</v>
      </c>
      <c r="R1011" s="34">
        <f t="shared" ref="R1011" si="2139">SUM(R1009:R1010)</f>
        <v>1.3500000000000001E-3</v>
      </c>
      <c r="S1011" s="34">
        <f t="shared" ref="S1011" si="2140">SUM(S1009:S1010)</f>
        <v>1.3500000000000001E-3</v>
      </c>
      <c r="T1011" s="34">
        <f t="shared" ref="T1011" si="2141">SUM(T1009:T1010)</f>
        <v>1.3500000000000001E-3</v>
      </c>
      <c r="U1011" s="34">
        <f t="shared" ref="U1011" si="2142">SUM(U1009:U1010)</f>
        <v>1.3500000000000001E-3</v>
      </c>
      <c r="V1011" s="180">
        <f t="shared" si="2122"/>
        <v>2.7000000000000007E-2</v>
      </c>
      <c r="W1011" s="53">
        <f t="shared" si="2123"/>
        <v>1.3500000000000003E-3</v>
      </c>
    </row>
    <row r="1012" spans="1:23" ht="13.5" customHeight="1">
      <c r="A1012" s="134" t="s">
        <v>123</v>
      </c>
      <c r="B1012" s="52">
        <v>0.96618357487922713</v>
      </c>
      <c r="C1012" s="52">
        <v>0.93351070036640305</v>
      </c>
      <c r="D1012" s="52">
        <v>0.90194270566802237</v>
      </c>
      <c r="E1012" s="52">
        <v>0.87144222769857238</v>
      </c>
      <c r="F1012" s="52">
        <v>0.84197316685852419</v>
      </c>
      <c r="G1012" s="52">
        <v>0.81350064430775282</v>
      </c>
      <c r="H1012" s="52">
        <v>0.78599096068381913</v>
      </c>
      <c r="I1012" s="52">
        <v>0.75941155621625056</v>
      </c>
      <c r="J1012" s="52">
        <v>0.73373097218961414</v>
      </c>
      <c r="K1012" s="52">
        <v>0.70891881370977217</v>
      </c>
      <c r="L1012" s="52">
        <v>0.68494571372924851</v>
      </c>
      <c r="M1012" s="52">
        <v>0.66178329828912896</v>
      </c>
      <c r="N1012" s="52">
        <v>0.63940415293635666</v>
      </c>
      <c r="O1012" s="52">
        <v>0.61778179027667302</v>
      </c>
      <c r="P1012" s="52">
        <v>0.59689061862480497</v>
      </c>
      <c r="Q1012" s="52">
        <v>0.57670591171478747</v>
      </c>
      <c r="R1012" s="52">
        <v>0.55720377943457733</v>
      </c>
      <c r="S1012" s="52">
        <v>0.53836113955031628</v>
      </c>
      <c r="T1012" s="52">
        <v>0.52015569038677911</v>
      </c>
      <c r="U1012" s="52">
        <v>0.50256588443167061</v>
      </c>
      <c r="V1012" s="180"/>
      <c r="W1012" s="133"/>
    </row>
    <row r="1013" spans="1:23" s="81" customFormat="1">
      <c r="A1013" s="50" t="s">
        <v>1069</v>
      </c>
      <c r="B1013" s="34">
        <f t="shared" ref="B1013:U1013" si="2143">B1012*B1011</f>
        <v>1.3043478260869566E-3</v>
      </c>
      <c r="C1013" s="34">
        <f t="shared" si="2143"/>
        <v>1.2602394454946442E-3</v>
      </c>
      <c r="D1013" s="34">
        <f t="shared" si="2143"/>
        <v>1.2176226526518302E-3</v>
      </c>
      <c r="E1013" s="34">
        <f t="shared" si="2143"/>
        <v>1.1764470073930729E-3</v>
      </c>
      <c r="F1013" s="34">
        <f t="shared" si="2143"/>
        <v>1.1366637752590078E-3</v>
      </c>
      <c r="G1013" s="34">
        <f t="shared" si="2143"/>
        <v>1.0982258698154664E-3</v>
      </c>
      <c r="H1013" s="34">
        <f t="shared" si="2143"/>
        <v>1.0610877969231558E-3</v>
      </c>
      <c r="I1013" s="34">
        <f t="shared" si="2143"/>
        <v>1.0252056008919384E-3</v>
      </c>
      <c r="J1013" s="34">
        <f t="shared" si="2143"/>
        <v>9.9053681245597921E-4</v>
      </c>
      <c r="K1013" s="34">
        <f t="shared" si="2143"/>
        <v>9.5704039850819252E-4</v>
      </c>
      <c r="L1013" s="34">
        <f t="shared" si="2143"/>
        <v>9.2467671353448555E-4</v>
      </c>
      <c r="M1013" s="34">
        <f t="shared" si="2143"/>
        <v>8.9340745269032417E-4</v>
      </c>
      <c r="N1013" s="34">
        <f t="shared" si="2143"/>
        <v>8.6319560646408151E-4</v>
      </c>
      <c r="O1013" s="34">
        <f t="shared" si="2143"/>
        <v>8.3400541687350866E-4</v>
      </c>
      <c r="P1013" s="34">
        <f t="shared" si="2143"/>
        <v>8.0580233514348674E-4</v>
      </c>
      <c r="Q1013" s="34">
        <f t="shared" si="2143"/>
        <v>7.7855298081496317E-4</v>
      </c>
      <c r="R1013" s="34">
        <f t="shared" si="2143"/>
        <v>7.5222510223667944E-4</v>
      </c>
      <c r="S1013" s="34">
        <f t="shared" si="2143"/>
        <v>7.2678753839292703E-4</v>
      </c>
      <c r="T1013" s="34">
        <f t="shared" si="2143"/>
        <v>7.0221018202215179E-4</v>
      </c>
      <c r="U1013" s="34">
        <f t="shared" si="2143"/>
        <v>6.7846394398275538E-4</v>
      </c>
      <c r="V1013" s="182">
        <f>SUM(B1013:U1013)</f>
        <v>1.9186744457635609E-2</v>
      </c>
      <c r="W1013" s="35"/>
    </row>
    <row r="1014" spans="1:23">
      <c r="A1014" s="49"/>
      <c r="B1014" s="34"/>
      <c r="C1014" s="34"/>
      <c r="D1014" s="34"/>
      <c r="E1014" s="34"/>
      <c r="F1014" s="34"/>
      <c r="G1014" s="34"/>
      <c r="H1014" s="34"/>
      <c r="I1014" s="34"/>
      <c r="J1014" s="34"/>
      <c r="K1014" s="34"/>
      <c r="L1014" s="34"/>
      <c r="M1014" s="34"/>
      <c r="N1014" s="34"/>
      <c r="O1014" s="34"/>
      <c r="P1014" s="34"/>
      <c r="Q1014" s="34"/>
      <c r="R1014" s="34"/>
      <c r="S1014" s="34"/>
      <c r="T1014" s="34"/>
      <c r="U1014" s="34"/>
      <c r="V1014" s="182"/>
      <c r="W1014" s="35"/>
    </row>
    <row r="1015" spans="1:23">
      <c r="A1015" s="42" t="s">
        <v>1041</v>
      </c>
      <c r="B1015" s="100"/>
      <c r="C1015" s="100"/>
      <c r="D1015" s="100"/>
      <c r="E1015" s="100"/>
      <c r="F1015" s="100"/>
      <c r="G1015" s="100"/>
      <c r="H1015" s="100"/>
      <c r="I1015" s="100"/>
      <c r="J1015" s="100"/>
      <c r="K1015" s="100"/>
      <c r="L1015" s="100"/>
      <c r="M1015" s="100"/>
      <c r="N1015" s="100"/>
      <c r="O1015" s="100"/>
      <c r="P1015" s="100"/>
      <c r="Q1015" s="100"/>
      <c r="R1015" s="100"/>
      <c r="S1015" s="100"/>
      <c r="T1015" s="100"/>
      <c r="U1015" s="100"/>
      <c r="V1015" s="179"/>
      <c r="W1015" s="140"/>
    </row>
    <row r="1016" spans="1:23">
      <c r="A1016" s="200" t="s">
        <v>679</v>
      </c>
      <c r="B1016" s="52">
        <v>0</v>
      </c>
      <c r="C1016" s="52">
        <v>0</v>
      </c>
      <c r="D1016" s="52">
        <v>0</v>
      </c>
      <c r="E1016" s="52">
        <v>0</v>
      </c>
      <c r="F1016" s="52">
        <v>0</v>
      </c>
      <c r="G1016" s="52">
        <v>0</v>
      </c>
      <c r="H1016" s="52">
        <v>0</v>
      </c>
      <c r="I1016" s="52">
        <v>0</v>
      </c>
      <c r="J1016" s="52">
        <v>0</v>
      </c>
      <c r="K1016" s="52">
        <v>0</v>
      </c>
      <c r="L1016" s="52">
        <v>0</v>
      </c>
      <c r="M1016" s="52">
        <v>0</v>
      </c>
      <c r="N1016" s="52">
        <v>0</v>
      </c>
      <c r="O1016" s="52">
        <v>0</v>
      </c>
      <c r="P1016" s="52">
        <v>0</v>
      </c>
      <c r="Q1016" s="52">
        <v>0</v>
      </c>
      <c r="R1016" s="52">
        <v>0</v>
      </c>
      <c r="S1016" s="52">
        <v>0</v>
      </c>
      <c r="T1016" s="52">
        <v>0</v>
      </c>
      <c r="U1016" s="52">
        <v>0</v>
      </c>
      <c r="V1016" s="180">
        <f>SUM(B1016:U1016)</f>
        <v>0</v>
      </c>
      <c r="W1016" s="53">
        <f>V1016/20</f>
        <v>0</v>
      </c>
    </row>
    <row r="1017" spans="1:23">
      <c r="A1017" s="200" t="s">
        <v>680</v>
      </c>
      <c r="B1017" s="52">
        <f t="shared" ref="B1017:U1017" si="2144">B105</f>
        <v>0.11272499999999999</v>
      </c>
      <c r="C1017" s="52">
        <f t="shared" si="2144"/>
        <v>0.11272499999999999</v>
      </c>
      <c r="D1017" s="52">
        <f t="shared" si="2144"/>
        <v>0.11272499999999999</v>
      </c>
      <c r="E1017" s="52">
        <f t="shared" si="2144"/>
        <v>0.11272499999999999</v>
      </c>
      <c r="F1017" s="52">
        <f t="shared" si="2144"/>
        <v>0.11272499999999999</v>
      </c>
      <c r="G1017" s="52">
        <f t="shared" si="2144"/>
        <v>0.11272499999999999</v>
      </c>
      <c r="H1017" s="52">
        <f t="shared" si="2144"/>
        <v>0.11272499999999999</v>
      </c>
      <c r="I1017" s="52">
        <f t="shared" si="2144"/>
        <v>0.11272499999999999</v>
      </c>
      <c r="J1017" s="52">
        <f t="shared" si="2144"/>
        <v>0.11272499999999999</v>
      </c>
      <c r="K1017" s="52">
        <f t="shared" si="2144"/>
        <v>0.11272499999999999</v>
      </c>
      <c r="L1017" s="52">
        <f t="shared" si="2144"/>
        <v>0.11272499999999999</v>
      </c>
      <c r="M1017" s="52">
        <f t="shared" si="2144"/>
        <v>0.11272499999999999</v>
      </c>
      <c r="N1017" s="52">
        <f t="shared" si="2144"/>
        <v>0.11272499999999999</v>
      </c>
      <c r="O1017" s="52">
        <f t="shared" si="2144"/>
        <v>0.11272499999999999</v>
      </c>
      <c r="P1017" s="52">
        <f t="shared" si="2144"/>
        <v>0.11272499999999999</v>
      </c>
      <c r="Q1017" s="52">
        <f t="shared" si="2144"/>
        <v>0.11272499999999999</v>
      </c>
      <c r="R1017" s="52">
        <f t="shared" si="2144"/>
        <v>0.11272499999999999</v>
      </c>
      <c r="S1017" s="52">
        <f t="shared" si="2144"/>
        <v>0.11272499999999999</v>
      </c>
      <c r="T1017" s="52">
        <f t="shared" si="2144"/>
        <v>0.11272499999999999</v>
      </c>
      <c r="U1017" s="52">
        <f t="shared" si="2144"/>
        <v>0.11272499999999999</v>
      </c>
      <c r="V1017" s="180">
        <f t="shared" ref="V1017:V1018" si="2145">SUM(B1017:U1017)</f>
        <v>2.2545000000000002</v>
      </c>
      <c r="W1017" s="53">
        <f t="shared" ref="W1017:W1018" si="2146">V1017/20</f>
        <v>0.11272500000000001</v>
      </c>
    </row>
    <row r="1018" spans="1:23">
      <c r="A1018" s="49" t="s">
        <v>664</v>
      </c>
      <c r="B1018" s="34">
        <f>SUM(B1016:B1017)</f>
        <v>0.11272499999999999</v>
      </c>
      <c r="C1018" s="34">
        <f t="shared" ref="C1018" si="2147">SUM(C1016:C1017)</f>
        <v>0.11272499999999999</v>
      </c>
      <c r="D1018" s="34">
        <f t="shared" ref="D1018" si="2148">SUM(D1016:D1017)</f>
        <v>0.11272499999999999</v>
      </c>
      <c r="E1018" s="34">
        <f t="shared" ref="E1018" si="2149">SUM(E1016:E1017)</f>
        <v>0.11272499999999999</v>
      </c>
      <c r="F1018" s="34">
        <f t="shared" ref="F1018" si="2150">SUM(F1016:F1017)</f>
        <v>0.11272499999999999</v>
      </c>
      <c r="G1018" s="34">
        <f t="shared" ref="G1018" si="2151">SUM(G1016:G1017)</f>
        <v>0.11272499999999999</v>
      </c>
      <c r="H1018" s="34">
        <f t="shared" ref="H1018" si="2152">SUM(H1016:H1017)</f>
        <v>0.11272499999999999</v>
      </c>
      <c r="I1018" s="34">
        <f t="shared" ref="I1018" si="2153">SUM(I1016:I1017)</f>
        <v>0.11272499999999999</v>
      </c>
      <c r="J1018" s="34">
        <f t="shared" ref="J1018" si="2154">SUM(J1016:J1017)</f>
        <v>0.11272499999999999</v>
      </c>
      <c r="K1018" s="34">
        <f t="shared" ref="K1018" si="2155">SUM(K1016:K1017)</f>
        <v>0.11272499999999999</v>
      </c>
      <c r="L1018" s="34">
        <f t="shared" ref="L1018" si="2156">SUM(L1016:L1017)</f>
        <v>0.11272499999999999</v>
      </c>
      <c r="M1018" s="34">
        <f t="shared" ref="M1018" si="2157">SUM(M1016:M1017)</f>
        <v>0.11272499999999999</v>
      </c>
      <c r="N1018" s="34">
        <f t="shared" ref="N1018" si="2158">SUM(N1016:N1017)</f>
        <v>0.11272499999999999</v>
      </c>
      <c r="O1018" s="34">
        <f t="shared" ref="O1018" si="2159">SUM(O1016:O1017)</f>
        <v>0.11272499999999999</v>
      </c>
      <c r="P1018" s="34">
        <f t="shared" ref="P1018" si="2160">SUM(P1016:P1017)</f>
        <v>0.11272499999999999</v>
      </c>
      <c r="Q1018" s="34">
        <f t="shared" ref="Q1018" si="2161">SUM(Q1016:Q1017)</f>
        <v>0.11272499999999999</v>
      </c>
      <c r="R1018" s="34">
        <f t="shared" ref="R1018" si="2162">SUM(R1016:R1017)</f>
        <v>0.11272499999999999</v>
      </c>
      <c r="S1018" s="34">
        <f t="shared" ref="S1018" si="2163">SUM(S1016:S1017)</f>
        <v>0.11272499999999999</v>
      </c>
      <c r="T1018" s="34">
        <f t="shared" ref="T1018" si="2164">SUM(T1016:T1017)</f>
        <v>0.11272499999999999</v>
      </c>
      <c r="U1018" s="34">
        <f t="shared" ref="U1018" si="2165">SUM(U1016:U1017)</f>
        <v>0.11272499999999999</v>
      </c>
      <c r="V1018" s="180">
        <f t="shared" si="2145"/>
        <v>2.2545000000000002</v>
      </c>
      <c r="W1018" s="53">
        <f t="shared" si="2146"/>
        <v>0.11272500000000001</v>
      </c>
    </row>
    <row r="1019" spans="1:23">
      <c r="A1019" s="134" t="s">
        <v>123</v>
      </c>
      <c r="B1019" s="52">
        <v>0.96618357487922713</v>
      </c>
      <c r="C1019" s="52">
        <v>0.93351070036640305</v>
      </c>
      <c r="D1019" s="52">
        <v>0.90194270566802237</v>
      </c>
      <c r="E1019" s="52">
        <v>0.87144222769857238</v>
      </c>
      <c r="F1019" s="52">
        <v>0.84197316685852419</v>
      </c>
      <c r="G1019" s="52">
        <v>0.81350064430775282</v>
      </c>
      <c r="H1019" s="52">
        <v>0.78599096068381913</v>
      </c>
      <c r="I1019" s="52">
        <v>0.75941155621625056</v>
      </c>
      <c r="J1019" s="52">
        <v>0.73373097218961414</v>
      </c>
      <c r="K1019" s="52">
        <v>0.70891881370977217</v>
      </c>
      <c r="L1019" s="52">
        <v>0.68494571372924851</v>
      </c>
      <c r="M1019" s="52">
        <v>0.66178329828912896</v>
      </c>
      <c r="N1019" s="52">
        <v>0.63940415293635666</v>
      </c>
      <c r="O1019" s="52">
        <v>0.61778179027667302</v>
      </c>
      <c r="P1019" s="52">
        <v>0.59689061862480497</v>
      </c>
      <c r="Q1019" s="52">
        <v>0.57670591171478747</v>
      </c>
      <c r="R1019" s="52">
        <v>0.55720377943457733</v>
      </c>
      <c r="S1019" s="52">
        <v>0.53836113955031628</v>
      </c>
      <c r="T1019" s="52">
        <v>0.52015569038677911</v>
      </c>
      <c r="U1019" s="52">
        <v>0.50256588443167061</v>
      </c>
      <c r="V1019" s="180"/>
      <c r="W1019" s="133"/>
    </row>
    <row r="1020" spans="1:23">
      <c r="A1020" s="50" t="s">
        <v>1069</v>
      </c>
      <c r="B1020" s="34">
        <f t="shared" ref="B1020:U1020" si="2166">B1019*B1018</f>
        <v>0.10891304347826088</v>
      </c>
      <c r="C1020" s="34">
        <f t="shared" si="2166"/>
        <v>0.10522999369880277</v>
      </c>
      <c r="D1020" s="34">
        <f t="shared" si="2166"/>
        <v>0.10167149149642782</v>
      </c>
      <c r="E1020" s="34">
        <f t="shared" si="2166"/>
        <v>9.8233325117321565E-2</v>
      </c>
      <c r="F1020" s="34">
        <f t="shared" si="2166"/>
        <v>9.4911425234127128E-2</v>
      </c>
      <c r="G1020" s="34">
        <f t="shared" si="2166"/>
        <v>9.1701860129591431E-2</v>
      </c>
      <c r="H1020" s="34">
        <f t="shared" si="2166"/>
        <v>8.86008310430835E-2</v>
      </c>
      <c r="I1020" s="34">
        <f t="shared" si="2166"/>
        <v>8.5604667674476845E-2</v>
      </c>
      <c r="J1020" s="34">
        <f t="shared" si="2166"/>
        <v>8.2709823840074248E-2</v>
      </c>
      <c r="K1020" s="34">
        <f t="shared" si="2166"/>
        <v>7.991287327543406E-2</v>
      </c>
      <c r="L1020" s="34">
        <f t="shared" si="2166"/>
        <v>7.7210505580129526E-2</v>
      </c>
      <c r="M1020" s="34">
        <f t="shared" si="2166"/>
        <v>7.4599522299642063E-2</v>
      </c>
      <c r="N1020" s="34">
        <f t="shared" si="2166"/>
        <v>7.2076833139750801E-2</v>
      </c>
      <c r="O1020" s="34">
        <f t="shared" si="2166"/>
        <v>6.9639452308937963E-2</v>
      </c>
      <c r="P1020" s="34">
        <f t="shared" si="2166"/>
        <v>6.7284494984481136E-2</v>
      </c>
      <c r="Q1020" s="34">
        <f t="shared" si="2166"/>
        <v>6.5009173898049416E-2</v>
      </c>
      <c r="R1020" s="34">
        <f t="shared" si="2166"/>
        <v>6.281079603676272E-2</v>
      </c>
      <c r="S1020" s="34">
        <f t="shared" si="2166"/>
        <v>6.0686759455809397E-2</v>
      </c>
      <c r="T1020" s="34">
        <f t="shared" si="2166"/>
        <v>5.8634550198849673E-2</v>
      </c>
      <c r="U1020" s="34">
        <f t="shared" si="2166"/>
        <v>5.6651739322560062E-2</v>
      </c>
      <c r="V1020" s="182">
        <f>SUM(B1020:U1020)</f>
        <v>1.6020931622125727</v>
      </c>
      <c r="W1020" s="35"/>
    </row>
    <row r="1021" spans="1:23">
      <c r="A1021" s="49"/>
      <c r="B1021" s="34"/>
      <c r="C1021" s="34"/>
      <c r="D1021" s="34"/>
      <c r="E1021" s="34"/>
      <c r="F1021" s="34"/>
      <c r="G1021" s="34"/>
      <c r="H1021" s="34"/>
      <c r="I1021" s="34"/>
      <c r="J1021" s="34"/>
      <c r="K1021" s="34"/>
      <c r="L1021" s="34"/>
      <c r="M1021" s="34"/>
      <c r="N1021" s="34"/>
      <c r="O1021" s="34"/>
      <c r="P1021" s="34"/>
      <c r="Q1021" s="34"/>
      <c r="R1021" s="34"/>
      <c r="S1021" s="34"/>
      <c r="T1021" s="34"/>
      <c r="U1021" s="34"/>
      <c r="V1021" s="182"/>
      <c r="W1021" s="35"/>
    </row>
    <row r="1022" spans="1:23">
      <c r="A1022" s="131" t="s">
        <v>1070</v>
      </c>
      <c r="B1022" s="100"/>
      <c r="C1022" s="100"/>
      <c r="D1022" s="100"/>
      <c r="E1022" s="100"/>
      <c r="F1022" s="100"/>
      <c r="G1022" s="100"/>
      <c r="H1022" s="100"/>
      <c r="I1022" s="100"/>
      <c r="J1022" s="100"/>
      <c r="K1022" s="100"/>
      <c r="L1022" s="100"/>
      <c r="M1022" s="100"/>
      <c r="N1022" s="100"/>
      <c r="O1022" s="100"/>
      <c r="P1022" s="100"/>
      <c r="Q1022" s="100"/>
      <c r="R1022" s="100"/>
      <c r="S1022" s="100"/>
      <c r="T1022" s="100"/>
      <c r="U1022" s="100"/>
      <c r="V1022" s="179"/>
      <c r="W1022" s="140"/>
    </row>
    <row r="1023" spans="1:23">
      <c r="A1023" s="200" t="s">
        <v>679</v>
      </c>
      <c r="B1023" s="52">
        <f t="shared" ref="B1023:U1023" si="2167">B89</f>
        <v>1.35E-2</v>
      </c>
      <c r="C1023" s="52">
        <f t="shared" si="2167"/>
        <v>0</v>
      </c>
      <c r="D1023" s="52">
        <f t="shared" si="2167"/>
        <v>0</v>
      </c>
      <c r="E1023" s="52">
        <f t="shared" si="2167"/>
        <v>1.35E-2</v>
      </c>
      <c r="F1023" s="52">
        <f t="shared" si="2167"/>
        <v>0</v>
      </c>
      <c r="G1023" s="52">
        <f t="shared" si="2167"/>
        <v>0</v>
      </c>
      <c r="H1023" s="52">
        <f t="shared" si="2167"/>
        <v>1.35E-2</v>
      </c>
      <c r="I1023" s="52">
        <f t="shared" si="2167"/>
        <v>0</v>
      </c>
      <c r="J1023" s="52">
        <f t="shared" si="2167"/>
        <v>0</v>
      </c>
      <c r="K1023" s="52">
        <f t="shared" si="2167"/>
        <v>1.35E-2</v>
      </c>
      <c r="L1023" s="52">
        <f t="shared" si="2167"/>
        <v>0</v>
      </c>
      <c r="M1023" s="52">
        <f t="shared" si="2167"/>
        <v>0</v>
      </c>
      <c r="N1023" s="52">
        <f t="shared" si="2167"/>
        <v>1.35E-2</v>
      </c>
      <c r="O1023" s="52">
        <f t="shared" si="2167"/>
        <v>0</v>
      </c>
      <c r="P1023" s="52">
        <f t="shared" si="2167"/>
        <v>0</v>
      </c>
      <c r="Q1023" s="52">
        <f t="shared" si="2167"/>
        <v>1.35E-2</v>
      </c>
      <c r="R1023" s="52">
        <f t="shared" si="2167"/>
        <v>0</v>
      </c>
      <c r="S1023" s="52">
        <f t="shared" si="2167"/>
        <v>0</v>
      </c>
      <c r="T1023" s="52">
        <f t="shared" si="2167"/>
        <v>1.35E-2</v>
      </c>
      <c r="U1023" s="52">
        <f t="shared" si="2167"/>
        <v>0</v>
      </c>
      <c r="V1023" s="180">
        <f>SUM(B1023:U1023)</f>
        <v>9.4500000000000001E-2</v>
      </c>
      <c r="W1023" s="53">
        <f>V1023/20</f>
        <v>4.725E-3</v>
      </c>
    </row>
    <row r="1024" spans="1:23">
      <c r="A1024" s="200" t="s">
        <v>680</v>
      </c>
      <c r="B1024" s="52">
        <f>('Scenario 2 Assumptions'!$B$279*('Scenario 2 Assumptions'!$B$316*0.5)/20)+B101</f>
        <v>2.5312500000000005E-3</v>
      </c>
      <c r="C1024" s="52">
        <f>('Scenario 2 Assumptions'!$B$279*('Scenario 2 Assumptions'!$B$316*0.5)/20)+C101</f>
        <v>2.5312500000000005E-3</v>
      </c>
      <c r="D1024" s="52">
        <f>('Scenario 2 Assumptions'!$B$279*('Scenario 2 Assumptions'!$B$316*0.5)/20)+D101</f>
        <v>2.5312500000000005E-3</v>
      </c>
      <c r="E1024" s="52">
        <f>('Scenario 2 Assumptions'!$B$279*('Scenario 2 Assumptions'!$B$316*0.5)/20)+E101</f>
        <v>2.5312500000000005E-3</v>
      </c>
      <c r="F1024" s="52">
        <f>('Scenario 2 Assumptions'!$B$279*('Scenario 2 Assumptions'!$B$316*0.5)/20)+F101</f>
        <v>2.5312500000000005E-3</v>
      </c>
      <c r="G1024" s="52">
        <f>('Scenario 2 Assumptions'!$B$279*('Scenario 2 Assumptions'!$B$316*0.5)/20)+G101</f>
        <v>2.5312500000000005E-3</v>
      </c>
      <c r="H1024" s="52">
        <f>('Scenario 2 Assumptions'!$B$279*('Scenario 2 Assumptions'!$B$316*0.5)/20)+H101</f>
        <v>2.5312500000000005E-3</v>
      </c>
      <c r="I1024" s="52">
        <f>('Scenario 2 Assumptions'!$B$279*('Scenario 2 Assumptions'!$B$316*0.5)/20)+I101</f>
        <v>2.5312500000000005E-3</v>
      </c>
      <c r="J1024" s="52">
        <f>('Scenario 2 Assumptions'!$B$279*('Scenario 2 Assumptions'!$B$316*0.5)/20)+J101</f>
        <v>2.5312500000000005E-3</v>
      </c>
      <c r="K1024" s="52">
        <f>('Scenario 2 Assumptions'!$B$279*('Scenario 2 Assumptions'!$B$316*0.5)/20)+K101</f>
        <v>2.5312500000000005E-3</v>
      </c>
      <c r="L1024" s="52">
        <f>('Scenario 2 Assumptions'!$B$279*('Scenario 2 Assumptions'!$B$316*0.5)/20)+L101</f>
        <v>2.5312500000000005E-3</v>
      </c>
      <c r="M1024" s="52">
        <f>('Scenario 2 Assumptions'!$B$279*('Scenario 2 Assumptions'!$B$316*0.5)/20)+M101</f>
        <v>2.5312500000000005E-3</v>
      </c>
      <c r="N1024" s="52">
        <f>('Scenario 2 Assumptions'!$B$279*('Scenario 2 Assumptions'!$B$316*0.5)/20)+N101</f>
        <v>2.5312500000000005E-3</v>
      </c>
      <c r="O1024" s="52">
        <f>('Scenario 2 Assumptions'!$B$279*('Scenario 2 Assumptions'!$B$316*0.5)/20)+O101</f>
        <v>2.5312500000000005E-3</v>
      </c>
      <c r="P1024" s="52">
        <f>('Scenario 2 Assumptions'!$B$279*('Scenario 2 Assumptions'!$B$316*0.5)/20)+P101</f>
        <v>2.5312500000000005E-3</v>
      </c>
      <c r="Q1024" s="52">
        <f>('Scenario 2 Assumptions'!$B$279*('Scenario 2 Assumptions'!$B$316*0.5)/20)+Q101</f>
        <v>2.5312500000000005E-3</v>
      </c>
      <c r="R1024" s="52">
        <f>('Scenario 2 Assumptions'!$B$279*('Scenario 2 Assumptions'!$B$316*0.5)/20)+R101</f>
        <v>2.5312500000000005E-3</v>
      </c>
      <c r="S1024" s="52">
        <f>('Scenario 2 Assumptions'!$B$279*('Scenario 2 Assumptions'!$B$316*0.5)/20)+S101</f>
        <v>2.5312500000000005E-3</v>
      </c>
      <c r="T1024" s="52">
        <f>('Scenario 2 Assumptions'!$B$279*('Scenario 2 Assumptions'!$B$316*0.5)/20)+T101</f>
        <v>2.5312500000000005E-3</v>
      </c>
      <c r="U1024" s="52">
        <f>('Scenario 2 Assumptions'!$B$279*('Scenario 2 Assumptions'!$B$316*0.5)/20)+U101</f>
        <v>2.5312500000000005E-3</v>
      </c>
      <c r="V1024" s="180">
        <f t="shared" ref="V1024:V1025" si="2168">SUM(B1024:U1024)</f>
        <v>5.0624999999999989E-2</v>
      </c>
      <c r="W1024" s="53">
        <f t="shared" ref="W1024:W1025" si="2169">V1024/20</f>
        <v>2.5312499999999996E-3</v>
      </c>
    </row>
    <row r="1025" spans="1:23">
      <c r="A1025" s="49" t="s">
        <v>664</v>
      </c>
      <c r="B1025" s="34">
        <f>SUM(B1023:B1024)</f>
        <v>1.603125E-2</v>
      </c>
      <c r="C1025" s="34">
        <f t="shared" ref="C1025" si="2170">SUM(C1023:C1024)</f>
        <v>2.5312500000000005E-3</v>
      </c>
      <c r="D1025" s="34">
        <f t="shared" ref="D1025" si="2171">SUM(D1023:D1024)</f>
        <v>2.5312500000000005E-3</v>
      </c>
      <c r="E1025" s="34">
        <f t="shared" ref="E1025" si="2172">SUM(E1023:E1024)</f>
        <v>1.603125E-2</v>
      </c>
      <c r="F1025" s="34">
        <f t="shared" ref="F1025" si="2173">SUM(F1023:F1024)</f>
        <v>2.5312500000000005E-3</v>
      </c>
      <c r="G1025" s="34">
        <f t="shared" ref="G1025" si="2174">SUM(G1023:G1024)</f>
        <v>2.5312500000000005E-3</v>
      </c>
      <c r="H1025" s="34">
        <f t="shared" ref="H1025" si="2175">SUM(H1023:H1024)</f>
        <v>1.603125E-2</v>
      </c>
      <c r="I1025" s="34">
        <f t="shared" ref="I1025" si="2176">SUM(I1023:I1024)</f>
        <v>2.5312500000000005E-3</v>
      </c>
      <c r="J1025" s="34">
        <f t="shared" ref="J1025" si="2177">SUM(J1023:J1024)</f>
        <v>2.5312500000000005E-3</v>
      </c>
      <c r="K1025" s="34">
        <f t="shared" ref="K1025" si="2178">SUM(K1023:K1024)</f>
        <v>1.603125E-2</v>
      </c>
      <c r="L1025" s="34">
        <f t="shared" ref="L1025" si="2179">SUM(L1023:L1024)</f>
        <v>2.5312500000000005E-3</v>
      </c>
      <c r="M1025" s="34">
        <f t="shared" ref="M1025" si="2180">SUM(M1023:M1024)</f>
        <v>2.5312500000000005E-3</v>
      </c>
      <c r="N1025" s="34">
        <f t="shared" ref="N1025" si="2181">SUM(N1023:N1024)</f>
        <v>1.603125E-2</v>
      </c>
      <c r="O1025" s="34">
        <f t="shared" ref="O1025" si="2182">SUM(O1023:O1024)</f>
        <v>2.5312500000000005E-3</v>
      </c>
      <c r="P1025" s="34">
        <f t="shared" ref="P1025" si="2183">SUM(P1023:P1024)</f>
        <v>2.5312500000000005E-3</v>
      </c>
      <c r="Q1025" s="34">
        <f t="shared" ref="Q1025" si="2184">SUM(Q1023:Q1024)</f>
        <v>1.603125E-2</v>
      </c>
      <c r="R1025" s="34">
        <f t="shared" ref="R1025" si="2185">SUM(R1023:R1024)</f>
        <v>2.5312500000000005E-3</v>
      </c>
      <c r="S1025" s="34">
        <f t="shared" ref="S1025" si="2186">SUM(S1023:S1024)</f>
        <v>2.5312500000000005E-3</v>
      </c>
      <c r="T1025" s="34">
        <f t="shared" ref="T1025" si="2187">SUM(T1023:T1024)</f>
        <v>1.603125E-2</v>
      </c>
      <c r="U1025" s="34">
        <f t="shared" ref="U1025" si="2188">SUM(U1023:U1024)</f>
        <v>2.5312500000000005E-3</v>
      </c>
      <c r="V1025" s="180">
        <f t="shared" si="2168"/>
        <v>0.145125</v>
      </c>
      <c r="W1025" s="53">
        <f t="shared" si="2169"/>
        <v>7.2562500000000005E-3</v>
      </c>
    </row>
    <row r="1026" spans="1:23">
      <c r="A1026" s="134" t="s">
        <v>123</v>
      </c>
      <c r="B1026" s="52">
        <v>0.96618357487922713</v>
      </c>
      <c r="C1026" s="52">
        <v>0.93351070036640305</v>
      </c>
      <c r="D1026" s="52">
        <v>0.90194270566802237</v>
      </c>
      <c r="E1026" s="52">
        <v>0.87144222769857238</v>
      </c>
      <c r="F1026" s="52">
        <v>0.84197316685852419</v>
      </c>
      <c r="G1026" s="52">
        <v>0.81350064430775282</v>
      </c>
      <c r="H1026" s="52">
        <v>0.78599096068381913</v>
      </c>
      <c r="I1026" s="52">
        <v>0.75941155621625056</v>
      </c>
      <c r="J1026" s="52">
        <v>0.73373097218961414</v>
      </c>
      <c r="K1026" s="52">
        <v>0.70891881370977217</v>
      </c>
      <c r="L1026" s="52">
        <v>0.68494571372924851</v>
      </c>
      <c r="M1026" s="52">
        <v>0.66178329828912896</v>
      </c>
      <c r="N1026" s="52">
        <v>0.63940415293635666</v>
      </c>
      <c r="O1026" s="52">
        <v>0.61778179027667302</v>
      </c>
      <c r="P1026" s="52">
        <v>0.59689061862480497</v>
      </c>
      <c r="Q1026" s="52">
        <v>0.57670591171478747</v>
      </c>
      <c r="R1026" s="52">
        <v>0.55720377943457733</v>
      </c>
      <c r="S1026" s="52">
        <v>0.53836113955031628</v>
      </c>
      <c r="T1026" s="52">
        <v>0.52015569038677911</v>
      </c>
      <c r="U1026" s="52">
        <v>0.50256588443167061</v>
      </c>
      <c r="V1026" s="180"/>
      <c r="W1026" s="133"/>
    </row>
    <row r="1027" spans="1:23" ht="13.5" thickBot="1">
      <c r="A1027" s="50" t="s">
        <v>1069</v>
      </c>
      <c r="B1027" s="38">
        <f t="shared" ref="B1027:U1027" si="2189">B1026*B1025</f>
        <v>1.5489130434782609E-2</v>
      </c>
      <c r="C1027" s="38">
        <f t="shared" si="2189"/>
        <v>2.3629489603024583E-3</v>
      </c>
      <c r="D1027" s="38">
        <f t="shared" si="2189"/>
        <v>2.283042473722182E-3</v>
      </c>
      <c r="E1027" s="38">
        <f t="shared" si="2189"/>
        <v>1.3970308212792739E-2</v>
      </c>
      <c r="F1027" s="38">
        <f t="shared" si="2189"/>
        <v>2.1312445786106399E-3</v>
      </c>
      <c r="G1027" s="38">
        <f t="shared" si="2189"/>
        <v>2.0591735059039998E-3</v>
      </c>
      <c r="H1027" s="38">
        <f t="shared" si="2189"/>
        <v>1.2600417588462476E-2</v>
      </c>
      <c r="I1027" s="38">
        <f t="shared" si="2189"/>
        <v>1.9222605016723847E-3</v>
      </c>
      <c r="J1027" s="38">
        <f t="shared" si="2189"/>
        <v>1.8572565233549612E-3</v>
      </c>
      <c r="K1027" s="38">
        <f t="shared" si="2189"/>
        <v>1.1364854732284786E-2</v>
      </c>
      <c r="L1027" s="38">
        <f t="shared" si="2189"/>
        <v>1.7337688378771606E-3</v>
      </c>
      <c r="M1027" s="38">
        <f t="shared" si="2189"/>
        <v>1.6751389737943579E-3</v>
      </c>
      <c r="N1027" s="38">
        <f t="shared" si="2189"/>
        <v>1.0250447826760968E-2</v>
      </c>
      <c r="O1027" s="38">
        <f t="shared" si="2189"/>
        <v>1.563760156637829E-3</v>
      </c>
      <c r="P1027" s="38">
        <f t="shared" si="2189"/>
        <v>1.5108793783940378E-3</v>
      </c>
      <c r="Q1027" s="38">
        <f t="shared" si="2189"/>
        <v>9.2453166471776864E-3</v>
      </c>
      <c r="R1027" s="38">
        <f t="shared" si="2189"/>
        <v>1.4104220666937741E-3</v>
      </c>
      <c r="S1027" s="38">
        <f t="shared" si="2189"/>
        <v>1.3627266344867384E-3</v>
      </c>
      <c r="T1027" s="38">
        <f t="shared" si="2189"/>
        <v>8.3387459115130524E-3</v>
      </c>
      <c r="U1027" s="38">
        <f t="shared" si="2189"/>
        <v>1.2721198949676665E-3</v>
      </c>
      <c r="V1027" s="183">
        <f>SUM(B1027:U1027)</f>
        <v>0.1044039638401925</v>
      </c>
      <c r="W1027" s="39"/>
    </row>
    <row r="1028" spans="1:23">
      <c r="A1028" s="188"/>
    </row>
  </sheetData>
  <sheetProtection password="8725" sheet="1" objects="1" scenarios="1"/>
  <sortState ref="A502:A513">
    <sortCondition ref="A502"/>
  </sortState>
  <mergeCells count="14">
    <mergeCell ref="V424:V425"/>
    <mergeCell ref="W424:W425"/>
    <mergeCell ref="V333:V334"/>
    <mergeCell ref="W333:W334"/>
    <mergeCell ref="V236:V237"/>
    <mergeCell ref="W236:W237"/>
    <mergeCell ref="A423:W423"/>
    <mergeCell ref="A7:W7"/>
    <mergeCell ref="A6:W6"/>
    <mergeCell ref="A235:W235"/>
    <mergeCell ref="A332:W332"/>
    <mergeCell ref="A4:W4"/>
    <mergeCell ref="V8:V9"/>
    <mergeCell ref="W8:W9"/>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dimension ref="A1:W37"/>
  <sheetViews>
    <sheetView zoomScale="80" zoomScaleNormal="80" workbookViewId="0">
      <selection activeCell="I6" sqref="I6"/>
    </sheetView>
  </sheetViews>
  <sheetFormatPr defaultRowHeight="12.75"/>
  <cols>
    <col min="1" max="1" width="46.5703125" style="74" customWidth="1"/>
    <col min="2" max="2" width="8.7109375" style="74" customWidth="1"/>
    <col min="3" max="21" width="7.7109375" style="74" bestFit="1" customWidth="1"/>
    <col min="22" max="22" width="9.7109375" style="74" customWidth="1"/>
    <col min="23" max="23" width="9.28515625" style="74" customWidth="1"/>
    <col min="24" max="16384" width="9.140625" style="74"/>
  </cols>
  <sheetData>
    <row r="1" spans="1:23" s="121" customFormat="1" ht="36" customHeight="1">
      <c r="A1" s="119" t="s">
        <v>1383</v>
      </c>
      <c r="B1" s="120"/>
      <c r="C1" s="120"/>
      <c r="D1" s="120"/>
      <c r="E1" s="120"/>
      <c r="F1" s="120"/>
      <c r="G1" s="120"/>
      <c r="H1" s="120"/>
      <c r="I1" s="120"/>
      <c r="J1" s="120"/>
      <c r="K1" s="120"/>
      <c r="L1" s="120"/>
      <c r="M1" s="120"/>
      <c r="N1" s="120"/>
      <c r="O1" s="120"/>
      <c r="P1" s="120"/>
      <c r="Q1" s="120"/>
      <c r="R1" s="120"/>
      <c r="S1" s="120"/>
      <c r="T1" s="120"/>
      <c r="U1" s="120"/>
      <c r="V1" s="120"/>
      <c r="W1" s="120"/>
    </row>
    <row r="2" spans="1:23" ht="22.5" customHeight="1" thickBot="1">
      <c r="A2" s="439" t="s">
        <v>1204</v>
      </c>
      <c r="B2" s="439"/>
      <c r="C2" s="439"/>
      <c r="D2" s="439"/>
      <c r="E2" s="439"/>
      <c r="F2" s="439"/>
      <c r="G2" s="439"/>
      <c r="H2" s="439"/>
      <c r="I2" s="439"/>
      <c r="J2" s="439"/>
      <c r="K2" s="439"/>
      <c r="L2" s="439"/>
      <c r="M2" s="439"/>
      <c r="N2" s="439"/>
      <c r="O2" s="439"/>
      <c r="P2" s="439"/>
      <c r="Q2" s="439"/>
      <c r="R2" s="439"/>
      <c r="S2" s="439"/>
      <c r="T2" s="439"/>
      <c r="U2" s="439"/>
      <c r="V2" s="439"/>
      <c r="W2" s="439"/>
    </row>
    <row r="3" spans="1:23">
      <c r="A3" s="256" t="s">
        <v>14</v>
      </c>
      <c r="B3" s="257">
        <v>2013</v>
      </c>
      <c r="C3" s="257">
        <v>2014</v>
      </c>
      <c r="D3" s="257">
        <v>2015</v>
      </c>
      <c r="E3" s="257">
        <v>2016</v>
      </c>
      <c r="F3" s="257">
        <v>2017</v>
      </c>
      <c r="G3" s="257">
        <v>2018</v>
      </c>
      <c r="H3" s="257">
        <v>2019</v>
      </c>
      <c r="I3" s="257">
        <v>2020</v>
      </c>
      <c r="J3" s="257">
        <v>2021</v>
      </c>
      <c r="K3" s="257">
        <v>2022</v>
      </c>
      <c r="L3" s="257">
        <v>2023</v>
      </c>
      <c r="M3" s="257">
        <v>2024</v>
      </c>
      <c r="N3" s="257">
        <v>2025</v>
      </c>
      <c r="O3" s="257">
        <v>2026</v>
      </c>
      <c r="P3" s="257">
        <v>2027</v>
      </c>
      <c r="Q3" s="257">
        <v>2028</v>
      </c>
      <c r="R3" s="257">
        <v>2029</v>
      </c>
      <c r="S3" s="257">
        <v>2030</v>
      </c>
      <c r="T3" s="257">
        <v>2031</v>
      </c>
      <c r="U3" s="257">
        <v>2032</v>
      </c>
      <c r="V3" s="402" t="s">
        <v>15</v>
      </c>
      <c r="W3" s="404" t="s">
        <v>1055</v>
      </c>
    </row>
    <row r="4" spans="1:23" ht="13.5" customHeight="1" thickBot="1">
      <c r="A4" s="258" t="s">
        <v>1052</v>
      </c>
      <c r="B4" s="259">
        <v>1</v>
      </c>
      <c r="C4" s="259">
        <v>2</v>
      </c>
      <c r="D4" s="259">
        <v>3</v>
      </c>
      <c r="E4" s="259">
        <v>4</v>
      </c>
      <c r="F4" s="259">
        <v>5</v>
      </c>
      <c r="G4" s="259">
        <v>6</v>
      </c>
      <c r="H4" s="259">
        <v>7</v>
      </c>
      <c r="I4" s="259">
        <v>8</v>
      </c>
      <c r="J4" s="259">
        <v>9</v>
      </c>
      <c r="K4" s="259">
        <v>10</v>
      </c>
      <c r="L4" s="259">
        <v>11</v>
      </c>
      <c r="M4" s="259">
        <v>12</v>
      </c>
      <c r="N4" s="259">
        <v>13</v>
      </c>
      <c r="O4" s="259">
        <v>14</v>
      </c>
      <c r="P4" s="259">
        <v>15</v>
      </c>
      <c r="Q4" s="259">
        <v>16</v>
      </c>
      <c r="R4" s="259">
        <v>17</v>
      </c>
      <c r="S4" s="259">
        <v>18</v>
      </c>
      <c r="T4" s="259">
        <v>19</v>
      </c>
      <c r="U4" s="259">
        <v>20</v>
      </c>
      <c r="V4" s="403"/>
      <c r="W4" s="405"/>
    </row>
    <row r="5" spans="1:23" s="81" customFormat="1">
      <c r="A5" s="13" t="s">
        <v>1054</v>
      </c>
      <c r="B5" s="170"/>
      <c r="C5" s="170"/>
      <c r="D5" s="170"/>
      <c r="E5" s="170"/>
      <c r="F5" s="170"/>
      <c r="G5" s="170"/>
      <c r="H5" s="170"/>
      <c r="I5" s="170"/>
      <c r="J5" s="170"/>
      <c r="K5" s="170"/>
      <c r="L5" s="170"/>
      <c r="M5" s="170"/>
      <c r="N5" s="170"/>
      <c r="O5" s="170"/>
      <c r="P5" s="170"/>
      <c r="Q5" s="170"/>
      <c r="R5" s="170"/>
      <c r="S5" s="170"/>
      <c r="T5" s="170"/>
      <c r="U5" s="170"/>
      <c r="V5" s="297"/>
      <c r="W5" s="171"/>
    </row>
    <row r="6" spans="1:23" s="81" customFormat="1">
      <c r="A6" s="13"/>
      <c r="B6" s="170"/>
      <c r="C6" s="170"/>
      <c r="D6" s="170"/>
      <c r="E6" s="170"/>
      <c r="F6" s="170"/>
      <c r="G6" s="170"/>
      <c r="H6" s="170"/>
      <c r="I6" s="170"/>
      <c r="J6" s="170"/>
      <c r="K6" s="170"/>
      <c r="L6" s="170"/>
      <c r="M6" s="170"/>
      <c r="N6" s="170"/>
      <c r="O6" s="170"/>
      <c r="P6" s="170"/>
      <c r="Q6" s="170"/>
      <c r="R6" s="170"/>
      <c r="S6" s="170"/>
      <c r="T6" s="170"/>
      <c r="U6" s="170"/>
      <c r="V6" s="186"/>
      <c r="W6" s="171"/>
    </row>
    <row r="7" spans="1:23" s="81" customFormat="1">
      <c r="A7" s="158" t="s">
        <v>652</v>
      </c>
      <c r="B7" s="170"/>
      <c r="C7" s="170"/>
      <c r="D7" s="170"/>
      <c r="E7" s="170"/>
      <c r="F7" s="170"/>
      <c r="G7" s="170"/>
      <c r="H7" s="170"/>
      <c r="I7" s="170"/>
      <c r="J7" s="170"/>
      <c r="K7" s="170"/>
      <c r="L7" s="170"/>
      <c r="M7" s="170"/>
      <c r="N7" s="170"/>
      <c r="O7" s="170"/>
      <c r="P7" s="170"/>
      <c r="Q7" s="170"/>
      <c r="R7" s="170"/>
      <c r="S7" s="170"/>
      <c r="T7" s="170"/>
      <c r="U7" s="170"/>
      <c r="V7" s="186"/>
      <c r="W7" s="171"/>
    </row>
    <row r="8" spans="1:23" s="81" customFormat="1">
      <c r="A8" s="131" t="s">
        <v>1367</v>
      </c>
      <c r="B8" s="170">
        <f>'Scenario 2 Calculations'!B253/2</f>
        <v>12</v>
      </c>
      <c r="C8" s="170">
        <f>'Scenario 2 Calculations'!C253/2</f>
        <v>0</v>
      </c>
      <c r="D8" s="170">
        <f>'Scenario 2 Calculations'!D253/2</f>
        <v>0</v>
      </c>
      <c r="E8" s="170">
        <f>'Scenario 2 Calculations'!E253/2</f>
        <v>0</v>
      </c>
      <c r="F8" s="170">
        <f>'Scenario 2 Calculations'!F253/2</f>
        <v>0</v>
      </c>
      <c r="G8" s="170">
        <f>'Scenario 2 Calculations'!G253/2</f>
        <v>0</v>
      </c>
      <c r="H8" s="170">
        <f>'Scenario 2 Calculations'!H253/2</f>
        <v>0</v>
      </c>
      <c r="I8" s="170">
        <f>'Scenario 2 Calculations'!I253/2</f>
        <v>0</v>
      </c>
      <c r="J8" s="170">
        <f>'Scenario 2 Calculations'!J253/2</f>
        <v>0</v>
      </c>
      <c r="K8" s="170">
        <f>'Scenario 2 Calculations'!K253/2</f>
        <v>0</v>
      </c>
      <c r="L8" s="170">
        <f>'Scenario 2 Calculations'!L253/2</f>
        <v>0</v>
      </c>
      <c r="M8" s="170">
        <f>'Scenario 2 Calculations'!M253/2</f>
        <v>0</v>
      </c>
      <c r="N8" s="170">
        <f>'Scenario 2 Calculations'!N253/2</f>
        <v>0</v>
      </c>
      <c r="O8" s="170">
        <f>'Scenario 2 Calculations'!O253/2</f>
        <v>0</v>
      </c>
      <c r="P8" s="170">
        <f>'Scenario 2 Calculations'!P253/2</f>
        <v>0</v>
      </c>
      <c r="Q8" s="170">
        <f>'Scenario 2 Calculations'!Q253/2</f>
        <v>0</v>
      </c>
      <c r="R8" s="170">
        <f>'Scenario 2 Calculations'!R253/2</f>
        <v>0</v>
      </c>
      <c r="S8" s="170">
        <f>'Scenario 2 Calculations'!S253/2</f>
        <v>0</v>
      </c>
      <c r="T8" s="170">
        <f>'Scenario 2 Calculations'!T253/2</f>
        <v>0</v>
      </c>
      <c r="U8" s="170">
        <f>'Scenario 2 Calculations'!U253/2</f>
        <v>0</v>
      </c>
      <c r="V8" s="180">
        <f t="shared" ref="V8" si="0">SUM(B8:U8)</f>
        <v>12</v>
      </c>
      <c r="W8" s="133">
        <f t="shared" ref="W8" si="1">V8/20</f>
        <v>0.6</v>
      </c>
    </row>
    <row r="9" spans="1:23" s="81" customFormat="1">
      <c r="A9" s="131" t="s">
        <v>1368</v>
      </c>
      <c r="B9" s="136">
        <f>('Scenario 2 Calculations'!B252+'Scenario 2 Calculations'!B347)/2</f>
        <v>0.21634300000000029</v>
      </c>
      <c r="C9" s="136">
        <f>('Scenario 2 Calculations'!C252+'Scenario 2 Calculations'!C347)/2</f>
        <v>0.11407499999999998</v>
      </c>
      <c r="D9" s="136">
        <f>('Scenario 2 Calculations'!D252+'Scenario 2 Calculations'!D347)/2</f>
        <v>0.10732499999999995</v>
      </c>
      <c r="E9" s="136">
        <f>('Scenario 2 Calculations'!E252+'Scenario 2 Calculations'!E347)/2</f>
        <v>0.12757499999999997</v>
      </c>
      <c r="F9" s="136">
        <f>('Scenario 2 Calculations'!F252+'Scenario 2 Calculations'!F347)/2</f>
        <v>0.11407499999999998</v>
      </c>
      <c r="G9" s="136">
        <f>('Scenario 2 Calculations'!G252+'Scenario 2 Calculations'!G347)/2</f>
        <v>0.10732499999999995</v>
      </c>
      <c r="H9" s="136">
        <f>('Scenario 2 Calculations'!H252+'Scenario 2 Calculations'!H347)/2</f>
        <v>0.119475</v>
      </c>
      <c r="I9" s="136">
        <f>('Scenario 2 Calculations'!I252+'Scenario 2 Calculations'!I347)/2</f>
        <v>0.10732499999999995</v>
      </c>
      <c r="J9" s="136">
        <f>('Scenario 2 Calculations'!J252+'Scenario 2 Calculations'!J347)/2</f>
        <v>0.11542499999999996</v>
      </c>
      <c r="K9" s="136">
        <f>('Scenario 2 Calculations'!K252+'Scenario 2 Calculations'!K347)/2</f>
        <v>0.119475</v>
      </c>
      <c r="L9" s="136">
        <f>('Scenario 2 Calculations'!L252+'Scenario 2 Calculations'!L347)/2</f>
        <v>0.10732499999999995</v>
      </c>
      <c r="M9" s="136">
        <f>('Scenario 2 Calculations'!M252+'Scenario 2 Calculations'!M347)/2</f>
        <v>0.10732499999999995</v>
      </c>
      <c r="N9" s="136">
        <f>('Scenario 2 Calculations'!N252+'Scenario 2 Calculations'!N347)/2</f>
        <v>0.119475</v>
      </c>
      <c r="O9" s="136">
        <f>('Scenario 2 Calculations'!O252+'Scenario 2 Calculations'!O347)/2</f>
        <v>0.11542499999999996</v>
      </c>
      <c r="P9" s="136">
        <f>('Scenario 2 Calculations'!P252+'Scenario 2 Calculations'!P347)/2</f>
        <v>0.10732499999999995</v>
      </c>
      <c r="Q9" s="136">
        <f>('Scenario 2 Calculations'!Q252+'Scenario 2 Calculations'!Q347)/2</f>
        <v>0.11272499999999996</v>
      </c>
      <c r="R9" s="136">
        <f>('Scenario 2 Calculations'!R252+'Scenario 2 Calculations'!R347)/2</f>
        <v>0.10732499999999995</v>
      </c>
      <c r="S9" s="136">
        <f>('Scenario 2 Calculations'!S252+'Scenario 2 Calculations'!S347)/2</f>
        <v>0.10732499999999995</v>
      </c>
      <c r="T9" s="136">
        <f>('Scenario 2 Calculations'!T252+'Scenario 2 Calculations'!T347)/2</f>
        <v>0.12622499999999998</v>
      </c>
      <c r="U9" s="136">
        <f>('Scenario 2 Calculations'!U252+'Scenario 2 Calculations'!U347)/2</f>
        <v>0.10732499999999995</v>
      </c>
      <c r="V9" s="180">
        <f t="shared" ref="V9:V10" si="2">SUM(B9:U9)</f>
        <v>2.366217999999999</v>
      </c>
      <c r="W9" s="133">
        <f t="shared" ref="W9:W10" si="3">V9/20</f>
        <v>0.11831089999999995</v>
      </c>
    </row>
    <row r="10" spans="1:23" s="81" customFormat="1">
      <c r="A10" s="81" t="s">
        <v>680</v>
      </c>
      <c r="B10" s="136">
        <f>('Scenario 1 Calculations'!B32+'Scenario 2 Calculations'!B250)/2</f>
        <v>1.9145420258620691E-2</v>
      </c>
      <c r="C10" s="136">
        <f>('Scenario 1 Calculations'!C32+'Scenario 2 Calculations'!C250)/2</f>
        <v>1.9145420258620691E-2</v>
      </c>
      <c r="D10" s="136">
        <f>('Scenario 1 Calculations'!D32+'Scenario 2 Calculations'!D250)/2</f>
        <v>1.9145420258620691E-2</v>
      </c>
      <c r="E10" s="136">
        <f>('Scenario 1 Calculations'!E32+'Scenario 2 Calculations'!E250)/2</f>
        <v>1.9145420258620691E-2</v>
      </c>
      <c r="F10" s="136">
        <f>('Scenario 1 Calculations'!F32+'Scenario 2 Calculations'!F250)/2</f>
        <v>1.9145420258620691E-2</v>
      </c>
      <c r="G10" s="136">
        <f>('Scenario 1 Calculations'!G32+'Scenario 2 Calculations'!G250)/2</f>
        <v>1.9145420258620691E-2</v>
      </c>
      <c r="H10" s="136">
        <f>('Scenario 1 Calculations'!H32+'Scenario 2 Calculations'!H250)/2</f>
        <v>1.9145420258620691E-2</v>
      </c>
      <c r="I10" s="136">
        <f>('Scenario 1 Calculations'!I32+'Scenario 2 Calculations'!I250)/2</f>
        <v>1.9145420258620691E-2</v>
      </c>
      <c r="J10" s="136">
        <f>('Scenario 1 Calculations'!J32+'Scenario 2 Calculations'!J250)/2</f>
        <v>1.9145420258620691E-2</v>
      </c>
      <c r="K10" s="136">
        <f>('Scenario 1 Calculations'!K32+'Scenario 2 Calculations'!K250)/2</f>
        <v>1.9145420258620691E-2</v>
      </c>
      <c r="L10" s="136">
        <f>('Scenario 1 Calculations'!L32+'Scenario 2 Calculations'!L250)/2</f>
        <v>1.9145420258620691E-2</v>
      </c>
      <c r="M10" s="136">
        <f>('Scenario 1 Calculations'!M32+'Scenario 2 Calculations'!M250)/2</f>
        <v>1.9145420258620691E-2</v>
      </c>
      <c r="N10" s="136">
        <f>('Scenario 1 Calculations'!N32+'Scenario 2 Calculations'!N250)/2</f>
        <v>1.9145420258620691E-2</v>
      </c>
      <c r="O10" s="136">
        <f>('Scenario 1 Calculations'!O32+'Scenario 2 Calculations'!O250)/2</f>
        <v>1.9145420258620691E-2</v>
      </c>
      <c r="P10" s="136">
        <f>('Scenario 1 Calculations'!P32+'Scenario 2 Calculations'!P250)/2</f>
        <v>1.9145420258620691E-2</v>
      </c>
      <c r="Q10" s="136">
        <f>('Scenario 1 Calculations'!Q32+'Scenario 2 Calculations'!Q250)/2</f>
        <v>1.9145420258620691E-2</v>
      </c>
      <c r="R10" s="136">
        <f>('Scenario 1 Calculations'!R32+'Scenario 2 Calculations'!R250)/2</f>
        <v>1.9145420258620691E-2</v>
      </c>
      <c r="S10" s="136">
        <f>('Scenario 1 Calculations'!S32+'Scenario 2 Calculations'!S250)/2</f>
        <v>1.9145420258620691E-2</v>
      </c>
      <c r="T10" s="136">
        <f>('Scenario 1 Calculations'!T32+'Scenario 2 Calculations'!T250)/2</f>
        <v>1.9145420258620691E-2</v>
      </c>
      <c r="U10" s="136">
        <f>('Scenario 1 Calculations'!U32+'Scenario 2 Calculations'!U250)/2</f>
        <v>1.9145420258620691E-2</v>
      </c>
      <c r="V10" s="180">
        <f t="shared" si="2"/>
        <v>0.38290840517241398</v>
      </c>
      <c r="W10" s="133">
        <f t="shared" si="3"/>
        <v>1.9145420258620698E-2</v>
      </c>
    </row>
    <row r="11" spans="1:23" s="99" customFormat="1">
      <c r="A11" s="20" t="s">
        <v>664</v>
      </c>
      <c r="B11" s="34">
        <f>SUM(B8:B10)</f>
        <v>12.235488420258621</v>
      </c>
      <c r="C11" s="34">
        <f t="shared" ref="C11:U11" si="4">SUM(C8:C10)</f>
        <v>0.13322042025862069</v>
      </c>
      <c r="D11" s="34">
        <f t="shared" si="4"/>
        <v>0.12647042025862065</v>
      </c>
      <c r="E11" s="34">
        <f t="shared" si="4"/>
        <v>0.14672042025862064</v>
      </c>
      <c r="F11" s="34">
        <f t="shared" si="4"/>
        <v>0.13322042025862069</v>
      </c>
      <c r="G11" s="34">
        <f t="shared" si="4"/>
        <v>0.12647042025862065</v>
      </c>
      <c r="H11" s="34">
        <f t="shared" si="4"/>
        <v>0.1386204202586207</v>
      </c>
      <c r="I11" s="34">
        <f t="shared" si="4"/>
        <v>0.12647042025862065</v>
      </c>
      <c r="J11" s="34">
        <f t="shared" si="4"/>
        <v>0.13457042025862065</v>
      </c>
      <c r="K11" s="34">
        <f t="shared" si="4"/>
        <v>0.1386204202586207</v>
      </c>
      <c r="L11" s="34">
        <f t="shared" si="4"/>
        <v>0.12647042025862065</v>
      </c>
      <c r="M11" s="34">
        <f t="shared" si="4"/>
        <v>0.12647042025862065</v>
      </c>
      <c r="N11" s="34">
        <f t="shared" si="4"/>
        <v>0.1386204202586207</v>
      </c>
      <c r="O11" s="34">
        <f t="shared" si="4"/>
        <v>0.13457042025862065</v>
      </c>
      <c r="P11" s="34">
        <f t="shared" si="4"/>
        <v>0.12647042025862065</v>
      </c>
      <c r="Q11" s="34">
        <f t="shared" si="4"/>
        <v>0.13187042025862067</v>
      </c>
      <c r="R11" s="34">
        <f t="shared" si="4"/>
        <v>0.12647042025862065</v>
      </c>
      <c r="S11" s="34">
        <f t="shared" si="4"/>
        <v>0.12647042025862065</v>
      </c>
      <c r="T11" s="34">
        <f t="shared" si="4"/>
        <v>0.14537042025862068</v>
      </c>
      <c r="U11" s="34">
        <f t="shared" si="4"/>
        <v>0.12647042025862065</v>
      </c>
      <c r="V11" s="182">
        <f t="shared" ref="V11" si="5">SUM(B11:U11)</f>
        <v>14.749126405172408</v>
      </c>
      <c r="W11" s="35">
        <f t="shared" ref="W11" si="6">V11/20</f>
        <v>0.7374563202586204</v>
      </c>
    </row>
    <row r="12" spans="1:23" s="12" customFormat="1" ht="13.5" customHeight="1">
      <c r="A12" s="137" t="s">
        <v>123</v>
      </c>
      <c r="B12" s="52">
        <v>0.96618357487922713</v>
      </c>
      <c r="C12" s="52">
        <v>0.93351070036640305</v>
      </c>
      <c r="D12" s="52">
        <v>0.90194270566802237</v>
      </c>
      <c r="E12" s="52">
        <v>0.87144222769857238</v>
      </c>
      <c r="F12" s="52">
        <v>0.84197316685852419</v>
      </c>
      <c r="G12" s="52">
        <v>0.81350064430775282</v>
      </c>
      <c r="H12" s="52">
        <v>0.78599096068381913</v>
      </c>
      <c r="I12" s="52">
        <v>0.75941155621625056</v>
      </c>
      <c r="J12" s="52">
        <v>0.73373097218961414</v>
      </c>
      <c r="K12" s="52">
        <v>0.70891881370977217</v>
      </c>
      <c r="L12" s="52">
        <v>0.68494571372924851</v>
      </c>
      <c r="M12" s="52">
        <v>0.66178329828912896</v>
      </c>
      <c r="N12" s="52">
        <v>0.63940415293635666</v>
      </c>
      <c r="O12" s="52">
        <v>0.61778179027667302</v>
      </c>
      <c r="P12" s="52">
        <v>0.59689061862480497</v>
      </c>
      <c r="Q12" s="52">
        <v>0.57670591171478747</v>
      </c>
      <c r="R12" s="52">
        <v>0.55720377943457733</v>
      </c>
      <c r="S12" s="52">
        <v>0.53836113955031628</v>
      </c>
      <c r="T12" s="52">
        <v>0.52015569038677911</v>
      </c>
      <c r="U12" s="52">
        <v>0.50256588443167105</v>
      </c>
      <c r="V12" s="180"/>
      <c r="W12" s="133"/>
    </row>
    <row r="13" spans="1:23" s="81" customFormat="1">
      <c r="A13" s="33" t="s">
        <v>1069</v>
      </c>
      <c r="B13" s="34">
        <f>B12*B11</f>
        <v>11.821727942278862</v>
      </c>
      <c r="C13" s="34">
        <f t="shared" ref="C13:U13" si="7">C12*C11</f>
        <v>0.12436268781873154</v>
      </c>
      <c r="D13" s="34">
        <f t="shared" si="7"/>
        <v>0.11406907303503218</v>
      </c>
      <c r="E13" s="34">
        <f t="shared" si="7"/>
        <v>0.12785836987904312</v>
      </c>
      <c r="F13" s="34">
        <f t="shared" si="7"/>
        <v>0.11216801913537436</v>
      </c>
      <c r="G13" s="34">
        <f t="shared" si="7"/>
        <v>0.10288376836626018</v>
      </c>
      <c r="H13" s="34">
        <f t="shared" si="7"/>
        <v>0.10895439728946803</v>
      </c>
      <c r="I13" s="34">
        <f t="shared" si="7"/>
        <v>9.6043098663922327E-2</v>
      </c>
      <c r="J13" s="34">
        <f t="shared" si="7"/>
        <v>9.8738485284322677E-2</v>
      </c>
      <c r="K13" s="34">
        <f t="shared" si="7"/>
        <v>9.8270623885691452E-2</v>
      </c>
      <c r="L13" s="34">
        <f t="shared" si="7"/>
        <v>8.6625372269678938E-2</v>
      </c>
      <c r="M13" s="34">
        <f t="shared" si="7"/>
        <v>8.3696011854762248E-2</v>
      </c>
      <c r="N13" s="34">
        <f t="shared" si="7"/>
        <v>8.8634472395145145E-2</v>
      </c>
      <c r="O13" s="34">
        <f t="shared" si="7"/>
        <v>8.3135155145654935E-2</v>
      </c>
      <c r="P13" s="34">
        <f t="shared" si="7"/>
        <v>7.548900738590715E-2</v>
      </c>
      <c r="Q13" s="34">
        <f t="shared" si="7"/>
        <v>7.605045094346001E-2</v>
      </c>
      <c r="R13" s="34">
        <f t="shared" si="7"/>
        <v>7.0469796154782757E-2</v>
      </c>
      <c r="S13" s="34">
        <f t="shared" si="7"/>
        <v>6.8086759569838423E-2</v>
      </c>
      <c r="T13" s="34">
        <f t="shared" si="7"/>
        <v>7.5615251311439063E-2</v>
      </c>
      <c r="U13" s="34">
        <f t="shared" si="7"/>
        <v>6.3559718611718816E-2</v>
      </c>
      <c r="V13" s="182">
        <f>SUM(B13:U13)</f>
        <v>13.576438461279098</v>
      </c>
      <c r="W13" s="35"/>
    </row>
    <row r="14" spans="1:23" s="99" customFormat="1">
      <c r="A14" s="20"/>
      <c r="B14" s="52"/>
      <c r="C14" s="52"/>
      <c r="D14" s="52"/>
      <c r="E14" s="52"/>
      <c r="F14" s="52"/>
      <c r="G14" s="52"/>
      <c r="H14" s="52"/>
      <c r="I14" s="52"/>
      <c r="J14" s="52"/>
      <c r="K14" s="52"/>
      <c r="L14" s="52"/>
      <c r="M14" s="52"/>
      <c r="N14" s="52"/>
      <c r="O14" s="52"/>
      <c r="P14" s="52"/>
      <c r="Q14" s="52"/>
      <c r="R14" s="52"/>
      <c r="S14" s="52"/>
      <c r="T14" s="52"/>
      <c r="U14" s="52"/>
      <c r="V14" s="180"/>
      <c r="W14" s="133"/>
    </row>
    <row r="15" spans="1:23" s="99" customFormat="1">
      <c r="A15" s="158" t="s">
        <v>653</v>
      </c>
      <c r="B15" s="52"/>
      <c r="C15" s="52"/>
      <c r="D15" s="52"/>
      <c r="E15" s="52"/>
      <c r="F15" s="52"/>
      <c r="G15" s="52"/>
      <c r="H15" s="52"/>
      <c r="I15" s="52"/>
      <c r="J15" s="52"/>
      <c r="K15" s="52"/>
      <c r="L15" s="52"/>
      <c r="M15" s="52"/>
      <c r="N15" s="52"/>
      <c r="O15" s="52"/>
      <c r="P15" s="52"/>
      <c r="Q15" s="52"/>
      <c r="R15" s="52"/>
      <c r="S15" s="52"/>
      <c r="T15" s="52"/>
      <c r="U15" s="52"/>
      <c r="V15" s="180"/>
      <c r="W15" s="133"/>
    </row>
    <row r="16" spans="1:23" s="99" customFormat="1">
      <c r="A16" s="81" t="s">
        <v>679</v>
      </c>
      <c r="B16" s="52">
        <f>('Scenario 2 Calculations'!B271+'Scenario 2 Calculations'!B365)/2</f>
        <v>0.60969974999999998</v>
      </c>
      <c r="C16" s="52">
        <f>('Scenario 2 Calculations'!C271+'Scenario 2 Calculations'!C365)/2</f>
        <v>0.45022499999999999</v>
      </c>
      <c r="D16" s="52">
        <f>('Scenario 2 Calculations'!D271+'Scenario 2 Calculations'!D365)/2</f>
        <v>0.45022499999999999</v>
      </c>
      <c r="E16" s="52">
        <f>('Scenario 2 Calculations'!E271+'Scenario 2 Calculations'!E365)/2</f>
        <v>0.50844374999999997</v>
      </c>
      <c r="F16" s="52">
        <f>('Scenario 2 Calculations'!F271+'Scenario 2 Calculations'!F365)/2</f>
        <v>0.45022499999999999</v>
      </c>
      <c r="G16" s="52">
        <f>('Scenario 2 Calculations'!G271+'Scenario 2 Calculations'!G365)/2</f>
        <v>0.45022499999999999</v>
      </c>
      <c r="H16" s="52">
        <f>('Scenario 2 Calculations'!H271+'Scenario 2 Calculations'!H365)/2</f>
        <v>0.50844374999999997</v>
      </c>
      <c r="I16" s="52">
        <f>('Scenario 2 Calculations'!I271+'Scenario 2 Calculations'!I365)/2</f>
        <v>0.45022499999999999</v>
      </c>
      <c r="J16" s="52">
        <f>('Scenario 2 Calculations'!J271+'Scenario 2 Calculations'!J365)/2</f>
        <v>0.45022499999999999</v>
      </c>
      <c r="K16" s="52">
        <f>('Scenario 2 Calculations'!K271+'Scenario 2 Calculations'!K365)/2</f>
        <v>0.50844374999999997</v>
      </c>
      <c r="L16" s="52">
        <f>('Scenario 2 Calculations'!L271+'Scenario 2 Calculations'!L365)/2</f>
        <v>0.45022499999999999</v>
      </c>
      <c r="M16" s="52">
        <f>('Scenario 2 Calculations'!M271+'Scenario 2 Calculations'!M365)/2</f>
        <v>0.45022499999999999</v>
      </c>
      <c r="N16" s="52">
        <f>('Scenario 2 Calculations'!N271+'Scenario 2 Calculations'!N365)/2</f>
        <v>0.50844374999999997</v>
      </c>
      <c r="O16" s="52">
        <f>('Scenario 2 Calculations'!O271+'Scenario 2 Calculations'!O365)/2</f>
        <v>0.45022499999999999</v>
      </c>
      <c r="P16" s="52">
        <f>('Scenario 2 Calculations'!P271+'Scenario 2 Calculations'!P365)/2</f>
        <v>0.45022499999999999</v>
      </c>
      <c r="Q16" s="52">
        <f>('Scenario 2 Calculations'!Q271+'Scenario 2 Calculations'!Q365)/2</f>
        <v>0.50844374999999997</v>
      </c>
      <c r="R16" s="52">
        <f>('Scenario 2 Calculations'!R271+'Scenario 2 Calculations'!R365)/2</f>
        <v>0.45022499999999999</v>
      </c>
      <c r="S16" s="52">
        <f>('Scenario 2 Calculations'!S271+'Scenario 2 Calculations'!S365)/2</f>
        <v>0.45022499999999999</v>
      </c>
      <c r="T16" s="52">
        <f>('Scenario 2 Calculations'!T271+'Scenario 2 Calculations'!T365)/2</f>
        <v>0.50844374999999997</v>
      </c>
      <c r="U16" s="52">
        <f>('Scenario 2 Calculations'!U271+'Scenario 2 Calculations'!U365)/2</f>
        <v>0.45022499999999999</v>
      </c>
      <c r="V16" s="180">
        <f t="shared" ref="V16:V17" si="8">SUM(B16:U16)</f>
        <v>9.5132872499999976</v>
      </c>
      <c r="W16" s="133">
        <f t="shared" ref="W16:W17" si="9">V16/20</f>
        <v>0.47566436249999988</v>
      </c>
    </row>
    <row r="17" spans="1:23" s="99" customFormat="1">
      <c r="A17" s="81" t="s">
        <v>680</v>
      </c>
      <c r="B17" s="52">
        <f>('Scenario 2 Calculations'!B366+'Scenario 2 Calculations'!B270)/2</f>
        <v>3.8574999999999998E-2</v>
      </c>
      <c r="C17" s="52">
        <f>('Scenario 2 Calculations'!C366+'Scenario 2 Calculations'!C270)/2</f>
        <v>3.8574999999999998E-2</v>
      </c>
      <c r="D17" s="52">
        <f>('Scenario 2 Calculations'!D366+'Scenario 2 Calculations'!D270)/2</f>
        <v>3.8574999999999998E-2</v>
      </c>
      <c r="E17" s="52">
        <f>('Scenario 2 Calculations'!E366+'Scenario 2 Calculations'!E270)/2</f>
        <v>3.8574999999999998E-2</v>
      </c>
      <c r="F17" s="52">
        <f>('Scenario 2 Calculations'!F366+'Scenario 2 Calculations'!F270)/2</f>
        <v>3.8574999999999998E-2</v>
      </c>
      <c r="G17" s="52">
        <f>('Scenario 2 Calculations'!G366+'Scenario 2 Calculations'!G270)/2</f>
        <v>3.8574999999999998E-2</v>
      </c>
      <c r="H17" s="52">
        <f>('Scenario 2 Calculations'!H366+'Scenario 2 Calculations'!H270)/2</f>
        <v>3.8574999999999998E-2</v>
      </c>
      <c r="I17" s="52">
        <f>('Scenario 2 Calculations'!I366+'Scenario 2 Calculations'!I270)/2</f>
        <v>3.8574999999999998E-2</v>
      </c>
      <c r="J17" s="52">
        <f>('Scenario 2 Calculations'!J366+'Scenario 2 Calculations'!J270)/2</f>
        <v>3.8574999999999998E-2</v>
      </c>
      <c r="K17" s="52">
        <f>('Scenario 2 Calculations'!K366+'Scenario 2 Calculations'!K270)/2</f>
        <v>3.8574999999999998E-2</v>
      </c>
      <c r="L17" s="52">
        <f>('Scenario 2 Calculations'!L366+'Scenario 2 Calculations'!L270)/2</f>
        <v>3.8574999999999998E-2</v>
      </c>
      <c r="M17" s="52">
        <f>('Scenario 2 Calculations'!M366+'Scenario 2 Calculations'!M270)/2</f>
        <v>3.8574999999999998E-2</v>
      </c>
      <c r="N17" s="52">
        <f>('Scenario 2 Calculations'!N366+'Scenario 2 Calculations'!N270)/2</f>
        <v>3.8574999999999998E-2</v>
      </c>
      <c r="O17" s="52">
        <f>('Scenario 2 Calculations'!O366+'Scenario 2 Calculations'!O270)/2</f>
        <v>3.8574999999999998E-2</v>
      </c>
      <c r="P17" s="52">
        <f>('Scenario 2 Calculations'!P366+'Scenario 2 Calculations'!P270)/2</f>
        <v>3.8574999999999998E-2</v>
      </c>
      <c r="Q17" s="52">
        <f>('Scenario 2 Calculations'!Q366+'Scenario 2 Calculations'!Q270)/2</f>
        <v>3.8574999999999998E-2</v>
      </c>
      <c r="R17" s="52">
        <f>('Scenario 2 Calculations'!R366+'Scenario 2 Calculations'!R270)/2</f>
        <v>3.8574999999999998E-2</v>
      </c>
      <c r="S17" s="52">
        <f>('Scenario 2 Calculations'!S366+'Scenario 2 Calculations'!S270)/2</f>
        <v>3.8574999999999998E-2</v>
      </c>
      <c r="T17" s="52">
        <f>('Scenario 2 Calculations'!T366+'Scenario 2 Calculations'!T270)/2</f>
        <v>3.8574999999999998E-2</v>
      </c>
      <c r="U17" s="52">
        <f>('Scenario 2 Calculations'!U366+'Scenario 2 Calculations'!U270)/2</f>
        <v>3.8574999999999998E-2</v>
      </c>
      <c r="V17" s="180">
        <f t="shared" si="8"/>
        <v>0.7715000000000003</v>
      </c>
      <c r="W17" s="133">
        <f t="shared" si="9"/>
        <v>3.8575000000000012E-2</v>
      </c>
    </row>
    <row r="18" spans="1:23" s="99" customFormat="1">
      <c r="A18" s="20" t="s">
        <v>664</v>
      </c>
      <c r="B18" s="34">
        <f>SUM(B16:B17)</f>
        <v>0.64827475000000001</v>
      </c>
      <c r="C18" s="34">
        <f t="shared" ref="C18:U18" si="10">SUM(C16:C17)</f>
        <v>0.48880000000000001</v>
      </c>
      <c r="D18" s="34">
        <f t="shared" si="10"/>
        <v>0.48880000000000001</v>
      </c>
      <c r="E18" s="34">
        <f t="shared" si="10"/>
        <v>0.54701875</v>
      </c>
      <c r="F18" s="34">
        <f t="shared" si="10"/>
        <v>0.48880000000000001</v>
      </c>
      <c r="G18" s="34">
        <f t="shared" si="10"/>
        <v>0.48880000000000001</v>
      </c>
      <c r="H18" s="34">
        <f t="shared" si="10"/>
        <v>0.54701875</v>
      </c>
      <c r="I18" s="34">
        <f t="shared" si="10"/>
        <v>0.48880000000000001</v>
      </c>
      <c r="J18" s="34">
        <f t="shared" si="10"/>
        <v>0.48880000000000001</v>
      </c>
      <c r="K18" s="34">
        <f t="shared" si="10"/>
        <v>0.54701875</v>
      </c>
      <c r="L18" s="34">
        <f t="shared" si="10"/>
        <v>0.48880000000000001</v>
      </c>
      <c r="M18" s="34">
        <f t="shared" si="10"/>
        <v>0.48880000000000001</v>
      </c>
      <c r="N18" s="34">
        <f t="shared" si="10"/>
        <v>0.54701875</v>
      </c>
      <c r="O18" s="34">
        <f t="shared" si="10"/>
        <v>0.48880000000000001</v>
      </c>
      <c r="P18" s="34">
        <f t="shared" si="10"/>
        <v>0.48880000000000001</v>
      </c>
      <c r="Q18" s="34">
        <f t="shared" si="10"/>
        <v>0.54701875</v>
      </c>
      <c r="R18" s="34">
        <f t="shared" si="10"/>
        <v>0.48880000000000001</v>
      </c>
      <c r="S18" s="34">
        <f t="shared" si="10"/>
        <v>0.48880000000000001</v>
      </c>
      <c r="T18" s="34">
        <f t="shared" si="10"/>
        <v>0.54701875</v>
      </c>
      <c r="U18" s="34">
        <f t="shared" si="10"/>
        <v>0.48880000000000001</v>
      </c>
      <c r="V18" s="182">
        <f t="shared" ref="V18:V28" si="11">SUM(B18:U18)</f>
        <v>10.284787249999999</v>
      </c>
      <c r="W18" s="35">
        <f t="shared" ref="W18:W28" si="12">V18/20</f>
        <v>0.51423936249999991</v>
      </c>
    </row>
    <row r="19" spans="1:23" s="99" customFormat="1">
      <c r="A19" s="20"/>
      <c r="B19" s="52"/>
      <c r="C19" s="52"/>
      <c r="D19" s="52"/>
      <c r="E19" s="52"/>
      <c r="F19" s="52"/>
      <c r="G19" s="52"/>
      <c r="H19" s="52"/>
      <c r="I19" s="52"/>
      <c r="J19" s="52"/>
      <c r="K19" s="52"/>
      <c r="L19" s="52"/>
      <c r="M19" s="52"/>
      <c r="N19" s="52"/>
      <c r="O19" s="52"/>
      <c r="P19" s="52"/>
      <c r="Q19" s="52"/>
      <c r="R19" s="52"/>
      <c r="S19" s="52"/>
      <c r="T19" s="52"/>
      <c r="U19" s="52"/>
      <c r="V19" s="180"/>
      <c r="W19" s="133"/>
    </row>
    <row r="20" spans="1:23" s="99" customFormat="1">
      <c r="A20" s="158" t="s">
        <v>1043</v>
      </c>
      <c r="B20" s="52"/>
      <c r="C20" s="52"/>
      <c r="D20" s="52"/>
      <c r="E20" s="52"/>
      <c r="F20" s="52"/>
      <c r="G20" s="52"/>
      <c r="H20" s="52"/>
      <c r="I20" s="52"/>
      <c r="J20" s="52"/>
      <c r="K20" s="52"/>
      <c r="L20" s="52"/>
      <c r="M20" s="52"/>
      <c r="N20" s="52"/>
      <c r="O20" s="52"/>
      <c r="P20" s="52"/>
      <c r="Q20" s="52"/>
      <c r="R20" s="52"/>
      <c r="S20" s="52"/>
      <c r="T20" s="52"/>
      <c r="U20" s="52"/>
      <c r="V20" s="180"/>
      <c r="W20" s="133"/>
    </row>
    <row r="21" spans="1:23" s="99" customFormat="1">
      <c r="A21" s="81" t="s">
        <v>679</v>
      </c>
      <c r="B21" s="52">
        <f>('Scenario 2 Calculations'!B289+'Scenario 2 Calculations'!B382)/2</f>
        <v>0.11053250000000001</v>
      </c>
      <c r="C21" s="52">
        <f>('Scenario 2 Calculations'!C289+'Scenario 2 Calculations'!C382)/2</f>
        <v>1.6199999999999999E-2</v>
      </c>
      <c r="D21" s="52">
        <f>('Scenario 2 Calculations'!D289+'Scenario 2 Calculations'!D382)/2</f>
        <v>1.6199999999999999E-2</v>
      </c>
      <c r="E21" s="52">
        <f>('Scenario 2 Calculations'!E289+'Scenario 2 Calculations'!E382)/2</f>
        <v>8.9437500000000003E-2</v>
      </c>
      <c r="F21" s="52">
        <f>('Scenario 2 Calculations'!F289+'Scenario 2 Calculations'!F382)/2</f>
        <v>1.6199999999999999E-2</v>
      </c>
      <c r="G21" s="52">
        <f>('Scenario 2 Calculations'!G289+'Scenario 2 Calculations'!G382)/2</f>
        <v>1.6199999999999999E-2</v>
      </c>
      <c r="H21" s="52">
        <f>('Scenario 2 Calculations'!H289+'Scenario 2 Calculations'!H382)/2</f>
        <v>8.9437500000000003E-2</v>
      </c>
      <c r="I21" s="52">
        <f>('Scenario 2 Calculations'!I289+'Scenario 2 Calculations'!I382)/2</f>
        <v>1.6199999999999999E-2</v>
      </c>
      <c r="J21" s="52">
        <f>('Scenario 2 Calculations'!J289+'Scenario 2 Calculations'!J382)/2</f>
        <v>1.6199999999999999E-2</v>
      </c>
      <c r="K21" s="52">
        <f>('Scenario 2 Calculations'!K289+'Scenario 2 Calculations'!K382)/2</f>
        <v>8.9437500000000003E-2</v>
      </c>
      <c r="L21" s="52">
        <f>('Scenario 2 Calculations'!L289+'Scenario 2 Calculations'!L382)/2</f>
        <v>1.6199999999999999E-2</v>
      </c>
      <c r="M21" s="52">
        <f>('Scenario 2 Calculations'!M289+'Scenario 2 Calculations'!M382)/2</f>
        <v>1.6199999999999999E-2</v>
      </c>
      <c r="N21" s="52">
        <f>('Scenario 2 Calculations'!N289+'Scenario 2 Calculations'!N382)/2</f>
        <v>8.9437500000000003E-2</v>
      </c>
      <c r="O21" s="52">
        <f>('Scenario 2 Calculations'!O289+'Scenario 2 Calculations'!O382)/2</f>
        <v>1.6199999999999999E-2</v>
      </c>
      <c r="P21" s="52">
        <f>('Scenario 2 Calculations'!P289+'Scenario 2 Calculations'!P382)/2</f>
        <v>1.6199999999999999E-2</v>
      </c>
      <c r="Q21" s="52">
        <f>('Scenario 2 Calculations'!Q289+'Scenario 2 Calculations'!Q382)/2</f>
        <v>8.9437500000000003E-2</v>
      </c>
      <c r="R21" s="52">
        <f>('Scenario 2 Calculations'!R289+'Scenario 2 Calculations'!R382)/2</f>
        <v>1.6199999999999999E-2</v>
      </c>
      <c r="S21" s="52">
        <f>('Scenario 2 Calculations'!S289+'Scenario 2 Calculations'!S382)/2</f>
        <v>1.6199999999999999E-2</v>
      </c>
      <c r="T21" s="52">
        <f>('Scenario 2 Calculations'!T289+'Scenario 2 Calculations'!T382)/2</f>
        <v>8.9437500000000003E-2</v>
      </c>
      <c r="U21" s="52">
        <f>('Scenario 2 Calculations'!U289+'Scenario 2 Calculations'!U382)/2</f>
        <v>1.6199999999999999E-2</v>
      </c>
      <c r="V21" s="180">
        <f t="shared" ref="V21:V22" si="13">SUM(B21:U21)</f>
        <v>0.85775750000000017</v>
      </c>
      <c r="W21" s="133">
        <f t="shared" ref="W21:W22" si="14">V21/20</f>
        <v>4.2887875000000006E-2</v>
      </c>
    </row>
    <row r="22" spans="1:23" s="99" customFormat="1">
      <c r="A22" s="81" t="s">
        <v>680</v>
      </c>
      <c r="B22" s="52">
        <f>('Scenario 2 Calculations'!B383+'Scenario 2 Calculations'!B288)/2</f>
        <v>0</v>
      </c>
      <c r="C22" s="52">
        <f>('Scenario 2 Calculations'!C383+'Scenario 2 Calculations'!C288)/2</f>
        <v>0</v>
      </c>
      <c r="D22" s="52">
        <f>('Scenario 2 Calculations'!D383+'Scenario 2 Calculations'!D288)/2</f>
        <v>0</v>
      </c>
      <c r="E22" s="52">
        <f>('Scenario 2 Calculations'!E383+'Scenario 2 Calculations'!E288)/2</f>
        <v>0</v>
      </c>
      <c r="F22" s="52">
        <f>('Scenario 2 Calculations'!F383+'Scenario 2 Calculations'!F288)/2</f>
        <v>0</v>
      </c>
      <c r="G22" s="52">
        <f>('Scenario 2 Calculations'!G383+'Scenario 2 Calculations'!G288)/2</f>
        <v>0</v>
      </c>
      <c r="H22" s="52">
        <f>('Scenario 2 Calculations'!H383+'Scenario 2 Calculations'!H288)/2</f>
        <v>0</v>
      </c>
      <c r="I22" s="52">
        <f>('Scenario 2 Calculations'!I383+'Scenario 2 Calculations'!I288)/2</f>
        <v>0</v>
      </c>
      <c r="J22" s="52">
        <f>('Scenario 2 Calculations'!J383+'Scenario 2 Calculations'!J288)/2</f>
        <v>0</v>
      </c>
      <c r="K22" s="52">
        <f>('Scenario 2 Calculations'!K383+'Scenario 2 Calculations'!K288)/2</f>
        <v>0</v>
      </c>
      <c r="L22" s="52">
        <f>('Scenario 2 Calculations'!L383+'Scenario 2 Calculations'!L288)/2</f>
        <v>0</v>
      </c>
      <c r="M22" s="52">
        <f>('Scenario 2 Calculations'!M383+'Scenario 2 Calculations'!M288)/2</f>
        <v>0</v>
      </c>
      <c r="N22" s="52">
        <f>('Scenario 2 Calculations'!N383+'Scenario 2 Calculations'!N288)/2</f>
        <v>0</v>
      </c>
      <c r="O22" s="52">
        <f>('Scenario 2 Calculations'!O383+'Scenario 2 Calculations'!O288)/2</f>
        <v>0</v>
      </c>
      <c r="P22" s="52">
        <f>('Scenario 2 Calculations'!P383+'Scenario 2 Calculations'!P288)/2</f>
        <v>0</v>
      </c>
      <c r="Q22" s="52">
        <f>('Scenario 2 Calculations'!Q383+'Scenario 2 Calculations'!Q288)/2</f>
        <v>0</v>
      </c>
      <c r="R22" s="52">
        <f>('Scenario 2 Calculations'!R383+'Scenario 2 Calculations'!R288)/2</f>
        <v>0</v>
      </c>
      <c r="S22" s="52">
        <f>('Scenario 2 Calculations'!S383+'Scenario 2 Calculations'!S288)/2</f>
        <v>0</v>
      </c>
      <c r="T22" s="52">
        <f>('Scenario 2 Calculations'!T383+'Scenario 2 Calculations'!T288)/2</f>
        <v>0</v>
      </c>
      <c r="U22" s="52">
        <f>('Scenario 2 Calculations'!U383+'Scenario 2 Calculations'!U288)/2</f>
        <v>0</v>
      </c>
      <c r="V22" s="180">
        <f t="shared" si="13"/>
        <v>0</v>
      </c>
      <c r="W22" s="133">
        <f t="shared" si="14"/>
        <v>0</v>
      </c>
    </row>
    <row r="23" spans="1:23" s="99" customFormat="1">
      <c r="A23" s="20" t="s">
        <v>664</v>
      </c>
      <c r="B23" s="34">
        <f>SUM(B21:B22)</f>
        <v>0.11053250000000001</v>
      </c>
      <c r="C23" s="34">
        <f t="shared" ref="C23:U23" si="15">SUM(C21:C22)</f>
        <v>1.6199999999999999E-2</v>
      </c>
      <c r="D23" s="34">
        <f t="shared" si="15"/>
        <v>1.6199999999999999E-2</v>
      </c>
      <c r="E23" s="34">
        <f t="shared" si="15"/>
        <v>8.9437500000000003E-2</v>
      </c>
      <c r="F23" s="34">
        <f t="shared" si="15"/>
        <v>1.6199999999999999E-2</v>
      </c>
      <c r="G23" s="34">
        <f t="shared" si="15"/>
        <v>1.6199999999999999E-2</v>
      </c>
      <c r="H23" s="34">
        <f t="shared" si="15"/>
        <v>8.9437500000000003E-2</v>
      </c>
      <c r="I23" s="34">
        <f t="shared" si="15"/>
        <v>1.6199999999999999E-2</v>
      </c>
      <c r="J23" s="34">
        <f t="shared" si="15"/>
        <v>1.6199999999999999E-2</v>
      </c>
      <c r="K23" s="34">
        <f t="shared" si="15"/>
        <v>8.9437500000000003E-2</v>
      </c>
      <c r="L23" s="34">
        <f t="shared" si="15"/>
        <v>1.6199999999999999E-2</v>
      </c>
      <c r="M23" s="34">
        <f t="shared" si="15"/>
        <v>1.6199999999999999E-2</v>
      </c>
      <c r="N23" s="34">
        <f t="shared" si="15"/>
        <v>8.9437500000000003E-2</v>
      </c>
      <c r="O23" s="34">
        <f t="shared" si="15"/>
        <v>1.6199999999999999E-2</v>
      </c>
      <c r="P23" s="34">
        <f t="shared" si="15"/>
        <v>1.6199999999999999E-2</v>
      </c>
      <c r="Q23" s="34">
        <f t="shared" si="15"/>
        <v>8.9437500000000003E-2</v>
      </c>
      <c r="R23" s="34">
        <f t="shared" si="15"/>
        <v>1.6199999999999999E-2</v>
      </c>
      <c r="S23" s="34">
        <f t="shared" si="15"/>
        <v>1.6199999999999999E-2</v>
      </c>
      <c r="T23" s="34">
        <f t="shared" si="15"/>
        <v>8.9437500000000003E-2</v>
      </c>
      <c r="U23" s="34">
        <f t="shared" si="15"/>
        <v>1.6199999999999999E-2</v>
      </c>
      <c r="V23" s="182">
        <f t="shared" si="11"/>
        <v>0.85775750000000017</v>
      </c>
      <c r="W23" s="35">
        <f t="shared" si="12"/>
        <v>4.2887875000000006E-2</v>
      </c>
    </row>
    <row r="24" spans="1:23" s="99" customFormat="1">
      <c r="A24" s="20"/>
      <c r="B24" s="52"/>
      <c r="C24" s="52"/>
      <c r="D24" s="52"/>
      <c r="E24" s="52"/>
      <c r="F24" s="52"/>
      <c r="G24" s="52"/>
      <c r="H24" s="52"/>
      <c r="I24" s="52"/>
      <c r="J24" s="52"/>
      <c r="K24" s="52"/>
      <c r="L24" s="52"/>
      <c r="M24" s="52"/>
      <c r="N24" s="52"/>
      <c r="O24" s="52"/>
      <c r="P24" s="52"/>
      <c r="Q24" s="52"/>
      <c r="R24" s="52"/>
      <c r="S24" s="52"/>
      <c r="T24" s="52"/>
      <c r="U24" s="52"/>
      <c r="V24" s="180"/>
      <c r="W24" s="133"/>
    </row>
    <row r="25" spans="1:23" s="99" customFormat="1">
      <c r="A25" s="158" t="s">
        <v>654</v>
      </c>
      <c r="B25" s="52"/>
      <c r="C25" s="52"/>
      <c r="D25" s="52"/>
      <c r="E25" s="52"/>
      <c r="F25" s="52"/>
      <c r="G25" s="52"/>
      <c r="H25" s="52"/>
      <c r="I25" s="52"/>
      <c r="J25" s="52"/>
      <c r="K25" s="52"/>
      <c r="L25" s="52"/>
      <c r="M25" s="52"/>
      <c r="N25" s="52"/>
      <c r="O25" s="52"/>
      <c r="P25" s="52"/>
      <c r="Q25" s="52"/>
      <c r="R25" s="52"/>
      <c r="S25" s="52"/>
      <c r="T25" s="52"/>
      <c r="U25" s="52"/>
      <c r="V25" s="180"/>
      <c r="W25" s="133"/>
    </row>
    <row r="26" spans="1:23" s="99" customFormat="1">
      <c r="A26" s="81" t="s">
        <v>679</v>
      </c>
      <c r="B26" s="52">
        <f>('Scenario 2 Calculations'!B307+'Scenario 2 Calculations'!B400)/2</f>
        <v>2.7E-2</v>
      </c>
      <c r="C26" s="52">
        <f>('Scenario 2 Calculations'!C307+'Scenario 2 Calculations'!C400)/2</f>
        <v>3.8137500000000005E-2</v>
      </c>
      <c r="D26" s="52">
        <f>('Scenario 2 Calculations'!D307+'Scenario 2 Calculations'!D400)/2</f>
        <v>3.8137500000000005E-2</v>
      </c>
      <c r="E26" s="52">
        <f>('Scenario 2 Calculations'!E307+'Scenario 2 Calculations'!E400)/2</f>
        <v>2.7E-2</v>
      </c>
      <c r="F26" s="52">
        <f>('Scenario 2 Calculations'!F307+'Scenario 2 Calculations'!F400)/2</f>
        <v>3.8137500000000005E-2</v>
      </c>
      <c r="G26" s="52">
        <f>('Scenario 2 Calculations'!G307+'Scenario 2 Calculations'!G400)/2</f>
        <v>3.8137500000000005E-2</v>
      </c>
      <c r="H26" s="52">
        <f>('Scenario 2 Calculations'!H307+'Scenario 2 Calculations'!H400)/2</f>
        <v>2.7E-2</v>
      </c>
      <c r="I26" s="52">
        <f>('Scenario 2 Calculations'!I307+'Scenario 2 Calculations'!I400)/2</f>
        <v>3.8137500000000005E-2</v>
      </c>
      <c r="J26" s="52">
        <f>('Scenario 2 Calculations'!J307+'Scenario 2 Calculations'!J400)/2</f>
        <v>3.8137500000000005E-2</v>
      </c>
      <c r="K26" s="52">
        <f>('Scenario 2 Calculations'!K307+'Scenario 2 Calculations'!K400)/2</f>
        <v>2.7E-2</v>
      </c>
      <c r="L26" s="52">
        <f>('Scenario 2 Calculations'!L307+'Scenario 2 Calculations'!L400)/2</f>
        <v>3.8137500000000005E-2</v>
      </c>
      <c r="M26" s="52">
        <f>('Scenario 2 Calculations'!M307+'Scenario 2 Calculations'!M400)/2</f>
        <v>3.8137500000000005E-2</v>
      </c>
      <c r="N26" s="52">
        <f>('Scenario 2 Calculations'!N307+'Scenario 2 Calculations'!N400)/2</f>
        <v>2.7E-2</v>
      </c>
      <c r="O26" s="52">
        <f>('Scenario 2 Calculations'!O307+'Scenario 2 Calculations'!O400)/2</f>
        <v>3.8137500000000005E-2</v>
      </c>
      <c r="P26" s="52">
        <f>('Scenario 2 Calculations'!P307+'Scenario 2 Calculations'!P400)/2</f>
        <v>3.8137500000000005E-2</v>
      </c>
      <c r="Q26" s="52">
        <f>('Scenario 2 Calculations'!Q307+'Scenario 2 Calculations'!Q400)/2</f>
        <v>2.7E-2</v>
      </c>
      <c r="R26" s="52">
        <f>('Scenario 2 Calculations'!R307+'Scenario 2 Calculations'!R400)/2</f>
        <v>3.8137500000000005E-2</v>
      </c>
      <c r="S26" s="52">
        <f>('Scenario 2 Calculations'!S307+'Scenario 2 Calculations'!S400)/2</f>
        <v>3.8137500000000005E-2</v>
      </c>
      <c r="T26" s="52">
        <f>('Scenario 2 Calculations'!T307+'Scenario 2 Calculations'!T400)/2</f>
        <v>2.7E-2</v>
      </c>
      <c r="U26" s="52">
        <f>('Scenario 2 Calculations'!U307+'Scenario 2 Calculations'!U400)/2</f>
        <v>3.8137500000000005E-2</v>
      </c>
      <c r="V26" s="180">
        <f t="shared" ref="V26:V27" si="16">SUM(B26:U26)</f>
        <v>0.68478750000000022</v>
      </c>
      <c r="W26" s="133">
        <f t="shared" ref="W26:W27" si="17">V26/20</f>
        <v>3.4239375000000009E-2</v>
      </c>
    </row>
    <row r="27" spans="1:23" s="99" customFormat="1">
      <c r="A27" s="81" t="s">
        <v>680</v>
      </c>
      <c r="B27" s="52">
        <f>('Scenario 2 Calculations'!B399+'Scenario 2 Calculations'!B306)/2</f>
        <v>4.6407500000000004E-2</v>
      </c>
      <c r="C27" s="52">
        <f>('Scenario 2 Calculations'!C399+'Scenario 2 Calculations'!C306)/2</f>
        <v>3.8137500000000005E-2</v>
      </c>
      <c r="D27" s="52">
        <f>('Scenario 2 Calculations'!D399+'Scenario 2 Calculations'!D306)/2</f>
        <v>3.8137500000000005E-2</v>
      </c>
      <c r="E27" s="52">
        <f>('Scenario 2 Calculations'!E399+'Scenario 2 Calculations'!E306)/2</f>
        <v>2.5312500000000002E-2</v>
      </c>
      <c r="F27" s="52">
        <f>('Scenario 2 Calculations'!F399+'Scenario 2 Calculations'!F306)/2</f>
        <v>3.8137500000000005E-2</v>
      </c>
      <c r="G27" s="52">
        <f>('Scenario 2 Calculations'!G399+'Scenario 2 Calculations'!G306)/2</f>
        <v>3.8137500000000005E-2</v>
      </c>
      <c r="H27" s="52">
        <f>('Scenario 2 Calculations'!H399+'Scenario 2 Calculations'!H306)/2</f>
        <v>2.5312500000000002E-2</v>
      </c>
      <c r="I27" s="52">
        <f>('Scenario 2 Calculations'!I399+'Scenario 2 Calculations'!I306)/2</f>
        <v>3.8137500000000005E-2</v>
      </c>
      <c r="J27" s="52">
        <f>('Scenario 2 Calculations'!J399+'Scenario 2 Calculations'!J306)/2</f>
        <v>3.8137500000000005E-2</v>
      </c>
      <c r="K27" s="52">
        <f>('Scenario 2 Calculations'!K399+'Scenario 2 Calculations'!K306)/2</f>
        <v>2.5312500000000002E-2</v>
      </c>
      <c r="L27" s="52">
        <f>('Scenario 2 Calculations'!L399+'Scenario 2 Calculations'!L306)/2</f>
        <v>3.8137500000000005E-2</v>
      </c>
      <c r="M27" s="52">
        <f>('Scenario 2 Calculations'!M399+'Scenario 2 Calculations'!M306)/2</f>
        <v>3.8137500000000005E-2</v>
      </c>
      <c r="N27" s="52">
        <f>('Scenario 2 Calculations'!N399+'Scenario 2 Calculations'!N306)/2</f>
        <v>2.5312500000000002E-2</v>
      </c>
      <c r="O27" s="52">
        <f>('Scenario 2 Calculations'!O399+'Scenario 2 Calculations'!O306)/2</f>
        <v>3.8137500000000005E-2</v>
      </c>
      <c r="P27" s="52">
        <f>('Scenario 2 Calculations'!P399+'Scenario 2 Calculations'!P306)/2</f>
        <v>3.8137500000000005E-2</v>
      </c>
      <c r="Q27" s="52">
        <f>('Scenario 2 Calculations'!Q399+'Scenario 2 Calculations'!Q306)/2</f>
        <v>2.5312500000000002E-2</v>
      </c>
      <c r="R27" s="52">
        <f>('Scenario 2 Calculations'!R399+'Scenario 2 Calculations'!R306)/2</f>
        <v>3.8137500000000005E-2</v>
      </c>
      <c r="S27" s="52">
        <f>('Scenario 2 Calculations'!S399+'Scenario 2 Calculations'!S306)/2</f>
        <v>3.8137500000000005E-2</v>
      </c>
      <c r="T27" s="52">
        <f>('Scenario 2 Calculations'!T399+'Scenario 2 Calculations'!T306)/2</f>
        <v>2.5312500000000002E-2</v>
      </c>
      <c r="U27" s="52">
        <f>('Scenario 2 Calculations'!U399+'Scenario 2 Calculations'!U306)/2</f>
        <v>3.8137500000000005E-2</v>
      </c>
      <c r="V27" s="180">
        <f t="shared" si="16"/>
        <v>0.69407000000000008</v>
      </c>
      <c r="W27" s="133">
        <f t="shared" si="17"/>
        <v>3.4703500000000005E-2</v>
      </c>
    </row>
    <row r="28" spans="1:23" s="99" customFormat="1">
      <c r="A28" s="20" t="s">
        <v>664</v>
      </c>
      <c r="B28" s="34">
        <f>SUM(B26:B27)</f>
        <v>7.3407500000000001E-2</v>
      </c>
      <c r="C28" s="34">
        <f t="shared" ref="C28:U28" si="18">SUM(C26:C27)</f>
        <v>7.6275000000000009E-2</v>
      </c>
      <c r="D28" s="34">
        <f t="shared" si="18"/>
        <v>7.6275000000000009E-2</v>
      </c>
      <c r="E28" s="34">
        <f t="shared" si="18"/>
        <v>5.2312499999999998E-2</v>
      </c>
      <c r="F28" s="34">
        <f t="shared" si="18"/>
        <v>7.6275000000000009E-2</v>
      </c>
      <c r="G28" s="34">
        <f t="shared" si="18"/>
        <v>7.6275000000000009E-2</v>
      </c>
      <c r="H28" s="34">
        <f t="shared" si="18"/>
        <v>5.2312499999999998E-2</v>
      </c>
      <c r="I28" s="34">
        <f t="shared" si="18"/>
        <v>7.6275000000000009E-2</v>
      </c>
      <c r="J28" s="34">
        <f t="shared" si="18"/>
        <v>7.6275000000000009E-2</v>
      </c>
      <c r="K28" s="34">
        <f t="shared" si="18"/>
        <v>5.2312499999999998E-2</v>
      </c>
      <c r="L28" s="34">
        <f t="shared" si="18"/>
        <v>7.6275000000000009E-2</v>
      </c>
      <c r="M28" s="34">
        <f t="shared" si="18"/>
        <v>7.6275000000000009E-2</v>
      </c>
      <c r="N28" s="34">
        <f t="shared" si="18"/>
        <v>5.2312499999999998E-2</v>
      </c>
      <c r="O28" s="34">
        <f t="shared" si="18"/>
        <v>7.6275000000000009E-2</v>
      </c>
      <c r="P28" s="34">
        <f t="shared" si="18"/>
        <v>7.6275000000000009E-2</v>
      </c>
      <c r="Q28" s="34">
        <f t="shared" si="18"/>
        <v>5.2312499999999998E-2</v>
      </c>
      <c r="R28" s="34">
        <f t="shared" si="18"/>
        <v>7.6275000000000009E-2</v>
      </c>
      <c r="S28" s="34">
        <f t="shared" si="18"/>
        <v>7.6275000000000009E-2</v>
      </c>
      <c r="T28" s="34">
        <f t="shared" si="18"/>
        <v>5.2312499999999998E-2</v>
      </c>
      <c r="U28" s="34">
        <f t="shared" si="18"/>
        <v>7.6275000000000009E-2</v>
      </c>
      <c r="V28" s="182">
        <f t="shared" si="11"/>
        <v>1.3788575000000001</v>
      </c>
      <c r="W28" s="35">
        <f t="shared" si="12"/>
        <v>6.8942875000000001E-2</v>
      </c>
    </row>
    <row r="29" spans="1:23" s="99" customFormat="1">
      <c r="A29" s="296"/>
      <c r="B29" s="52"/>
      <c r="C29" s="52"/>
      <c r="D29" s="52"/>
      <c r="E29" s="52"/>
      <c r="F29" s="52"/>
      <c r="G29" s="52"/>
      <c r="H29" s="52"/>
      <c r="I29" s="52"/>
      <c r="J29" s="52"/>
      <c r="K29" s="52"/>
      <c r="L29" s="52"/>
      <c r="M29" s="52"/>
      <c r="N29" s="52"/>
      <c r="O29" s="52"/>
      <c r="P29" s="52"/>
      <c r="Q29" s="52"/>
      <c r="R29" s="52"/>
      <c r="S29" s="52"/>
      <c r="T29" s="52"/>
      <c r="U29" s="52"/>
      <c r="V29" s="180"/>
      <c r="W29" s="133"/>
    </row>
    <row r="30" spans="1:23" s="99" customFormat="1">
      <c r="A30" s="158" t="s">
        <v>1057</v>
      </c>
      <c r="B30" s="52"/>
      <c r="C30" s="52"/>
      <c r="D30" s="52"/>
      <c r="E30" s="52"/>
      <c r="F30" s="52"/>
      <c r="G30" s="52"/>
      <c r="H30" s="52"/>
      <c r="I30" s="52"/>
      <c r="J30" s="52"/>
      <c r="K30" s="52"/>
      <c r="L30" s="52"/>
      <c r="M30" s="52"/>
      <c r="N30" s="52"/>
      <c r="O30" s="52"/>
      <c r="P30" s="52"/>
      <c r="Q30" s="52"/>
      <c r="R30" s="52"/>
      <c r="S30" s="52"/>
      <c r="T30" s="52"/>
      <c r="U30" s="52"/>
      <c r="V30" s="180"/>
      <c r="W30" s="133"/>
    </row>
    <row r="31" spans="1:23" s="99" customFormat="1">
      <c r="A31" s="81" t="s">
        <v>679</v>
      </c>
      <c r="B31" s="52">
        <f>B9+B8+B16+B21+B26</f>
        <v>12.96357525</v>
      </c>
      <c r="C31" s="52">
        <f t="shared" ref="C31:U31" si="19">C9+C8+C16+C21+C26</f>
        <v>0.61863750000000006</v>
      </c>
      <c r="D31" s="52">
        <f t="shared" si="19"/>
        <v>0.61188750000000003</v>
      </c>
      <c r="E31" s="52">
        <f t="shared" si="19"/>
        <v>0.75245624999999994</v>
      </c>
      <c r="F31" s="52">
        <f t="shared" si="19"/>
        <v>0.61863750000000006</v>
      </c>
      <c r="G31" s="52">
        <f t="shared" si="19"/>
        <v>0.61188750000000003</v>
      </c>
      <c r="H31" s="52">
        <f t="shared" si="19"/>
        <v>0.74435624999999994</v>
      </c>
      <c r="I31" s="52">
        <f t="shared" si="19"/>
        <v>0.61188750000000003</v>
      </c>
      <c r="J31" s="52">
        <f t="shared" si="19"/>
        <v>0.61998750000000002</v>
      </c>
      <c r="K31" s="52">
        <f t="shared" si="19"/>
        <v>0.74435624999999994</v>
      </c>
      <c r="L31" s="52">
        <f t="shared" si="19"/>
        <v>0.61188750000000003</v>
      </c>
      <c r="M31" s="52">
        <f t="shared" si="19"/>
        <v>0.61188750000000003</v>
      </c>
      <c r="N31" s="52">
        <f t="shared" si="19"/>
        <v>0.74435624999999994</v>
      </c>
      <c r="O31" s="52">
        <f t="shared" si="19"/>
        <v>0.61998750000000002</v>
      </c>
      <c r="P31" s="52">
        <f t="shared" si="19"/>
        <v>0.61188750000000003</v>
      </c>
      <c r="Q31" s="52">
        <f t="shared" si="19"/>
        <v>0.73760624999999991</v>
      </c>
      <c r="R31" s="52">
        <f t="shared" si="19"/>
        <v>0.61188750000000003</v>
      </c>
      <c r="S31" s="52">
        <f t="shared" si="19"/>
        <v>0.61188750000000003</v>
      </c>
      <c r="T31" s="52">
        <f t="shared" si="19"/>
        <v>0.75110624999999998</v>
      </c>
      <c r="U31" s="52">
        <f t="shared" si="19"/>
        <v>0.61188750000000003</v>
      </c>
      <c r="V31" s="180">
        <f t="shared" ref="V31:V32" si="20">SUM(B31:U31)</f>
        <v>25.422050250000009</v>
      </c>
      <c r="W31" s="133">
        <f t="shared" ref="W31:W32" si="21">V31/20</f>
        <v>1.2711025125000004</v>
      </c>
    </row>
    <row r="32" spans="1:23" s="99" customFormat="1">
      <c r="A32" s="81" t="s">
        <v>680</v>
      </c>
      <c r="B32" s="52">
        <f t="shared" ref="B32:U32" si="22">B10+B17+B22+B27</f>
        <v>0.10412792025862069</v>
      </c>
      <c r="C32" s="52">
        <f t="shared" si="22"/>
        <v>9.5857920258620694E-2</v>
      </c>
      <c r="D32" s="52">
        <f t="shared" si="22"/>
        <v>9.5857920258620694E-2</v>
      </c>
      <c r="E32" s="52">
        <f t="shared" si="22"/>
        <v>8.303292025862069E-2</v>
      </c>
      <c r="F32" s="52">
        <f t="shared" si="22"/>
        <v>9.5857920258620694E-2</v>
      </c>
      <c r="G32" s="52">
        <f t="shared" si="22"/>
        <v>9.5857920258620694E-2</v>
      </c>
      <c r="H32" s="52">
        <f t="shared" si="22"/>
        <v>8.303292025862069E-2</v>
      </c>
      <c r="I32" s="52">
        <f t="shared" si="22"/>
        <v>9.5857920258620694E-2</v>
      </c>
      <c r="J32" s="52">
        <f t="shared" si="22"/>
        <v>9.5857920258620694E-2</v>
      </c>
      <c r="K32" s="52">
        <f t="shared" si="22"/>
        <v>8.303292025862069E-2</v>
      </c>
      <c r="L32" s="52">
        <f t="shared" si="22"/>
        <v>9.5857920258620694E-2</v>
      </c>
      <c r="M32" s="52">
        <f t="shared" si="22"/>
        <v>9.5857920258620694E-2</v>
      </c>
      <c r="N32" s="52">
        <f t="shared" si="22"/>
        <v>8.303292025862069E-2</v>
      </c>
      <c r="O32" s="52">
        <f t="shared" si="22"/>
        <v>9.5857920258620694E-2</v>
      </c>
      <c r="P32" s="52">
        <f t="shared" si="22"/>
        <v>9.5857920258620694E-2</v>
      </c>
      <c r="Q32" s="52">
        <f t="shared" si="22"/>
        <v>8.303292025862069E-2</v>
      </c>
      <c r="R32" s="52">
        <f t="shared" si="22"/>
        <v>9.5857920258620694E-2</v>
      </c>
      <c r="S32" s="52">
        <f t="shared" si="22"/>
        <v>9.5857920258620694E-2</v>
      </c>
      <c r="T32" s="52">
        <f t="shared" si="22"/>
        <v>8.303292025862069E-2</v>
      </c>
      <c r="U32" s="52">
        <f t="shared" si="22"/>
        <v>9.5857920258620694E-2</v>
      </c>
      <c r="V32" s="180">
        <f t="shared" si="20"/>
        <v>1.8484784051724139</v>
      </c>
      <c r="W32" s="133">
        <f t="shared" si="21"/>
        <v>9.2423920258620701E-2</v>
      </c>
    </row>
    <row r="33" spans="1:23" s="3" customFormat="1" ht="13.5" customHeight="1">
      <c r="A33" s="20" t="s">
        <v>664</v>
      </c>
      <c r="B33" s="34">
        <f>SUM(B31:B32)</f>
        <v>13.067703170258621</v>
      </c>
      <c r="C33" s="34">
        <f t="shared" ref="C33:U33" si="23">SUM(C31:C32)</f>
        <v>0.71449542025862078</v>
      </c>
      <c r="D33" s="34">
        <f t="shared" si="23"/>
        <v>0.70774542025862075</v>
      </c>
      <c r="E33" s="34">
        <f t="shared" si="23"/>
        <v>0.83548917025862068</v>
      </c>
      <c r="F33" s="34">
        <f t="shared" si="23"/>
        <v>0.71449542025862078</v>
      </c>
      <c r="G33" s="34">
        <f t="shared" si="23"/>
        <v>0.70774542025862075</v>
      </c>
      <c r="H33" s="34">
        <f t="shared" si="23"/>
        <v>0.82738917025862069</v>
      </c>
      <c r="I33" s="34">
        <f t="shared" si="23"/>
        <v>0.70774542025862075</v>
      </c>
      <c r="J33" s="34">
        <f t="shared" si="23"/>
        <v>0.71584542025862075</v>
      </c>
      <c r="K33" s="34">
        <f t="shared" si="23"/>
        <v>0.82738917025862069</v>
      </c>
      <c r="L33" s="34">
        <f t="shared" si="23"/>
        <v>0.70774542025862075</v>
      </c>
      <c r="M33" s="34">
        <f t="shared" si="23"/>
        <v>0.70774542025862075</v>
      </c>
      <c r="N33" s="34">
        <f t="shared" si="23"/>
        <v>0.82738917025862069</v>
      </c>
      <c r="O33" s="34">
        <f t="shared" si="23"/>
        <v>0.71584542025862075</v>
      </c>
      <c r="P33" s="34">
        <f t="shared" si="23"/>
        <v>0.70774542025862075</v>
      </c>
      <c r="Q33" s="34">
        <f t="shared" si="23"/>
        <v>0.82063917025862065</v>
      </c>
      <c r="R33" s="34">
        <f t="shared" si="23"/>
        <v>0.70774542025862075</v>
      </c>
      <c r="S33" s="34">
        <f t="shared" si="23"/>
        <v>0.70774542025862075</v>
      </c>
      <c r="T33" s="34">
        <f t="shared" si="23"/>
        <v>0.83413917025862072</v>
      </c>
      <c r="U33" s="34">
        <f t="shared" si="23"/>
        <v>0.70774542025862075</v>
      </c>
      <c r="V33" s="182">
        <f>SUM(B33:U33)</f>
        <v>27.270528655172416</v>
      </c>
      <c r="W33" s="35">
        <f>V33/20</f>
        <v>1.3635264327586207</v>
      </c>
    </row>
    <row r="34" spans="1:23" s="12" customFormat="1" ht="13.5" customHeight="1">
      <c r="A34" s="137" t="s">
        <v>123</v>
      </c>
      <c r="B34" s="52">
        <v>0.96618357487922713</v>
      </c>
      <c r="C34" s="52">
        <v>0.93351070036640305</v>
      </c>
      <c r="D34" s="52">
        <v>0.90194270566802237</v>
      </c>
      <c r="E34" s="52">
        <v>0.87144222769857238</v>
      </c>
      <c r="F34" s="52">
        <v>0.84197316685852419</v>
      </c>
      <c r="G34" s="52">
        <v>0.81350064430775282</v>
      </c>
      <c r="H34" s="52">
        <v>0.78599096068381913</v>
      </c>
      <c r="I34" s="52">
        <v>0.75941155621625056</v>
      </c>
      <c r="J34" s="52">
        <v>0.73373097218961414</v>
      </c>
      <c r="K34" s="52">
        <v>0.70891881370977217</v>
      </c>
      <c r="L34" s="52">
        <v>0.68494571372924851</v>
      </c>
      <c r="M34" s="52">
        <v>0.66178329828912896</v>
      </c>
      <c r="N34" s="52">
        <v>0.63940415293635666</v>
      </c>
      <c r="O34" s="52">
        <v>0.61778179027667302</v>
      </c>
      <c r="P34" s="52">
        <v>0.59689061862480497</v>
      </c>
      <c r="Q34" s="52">
        <v>0.57670591171478747</v>
      </c>
      <c r="R34" s="52">
        <v>0.55720377943457733</v>
      </c>
      <c r="S34" s="52">
        <v>0.53836113955031628</v>
      </c>
      <c r="T34" s="52">
        <v>0.52015569038677911</v>
      </c>
      <c r="U34" s="52">
        <v>0.50256588443167061</v>
      </c>
      <c r="V34" s="180"/>
      <c r="W34" s="133"/>
    </row>
    <row r="35" spans="1:23" s="81" customFormat="1">
      <c r="A35" s="33" t="s">
        <v>1069</v>
      </c>
      <c r="B35" s="34">
        <f>B34*B33</f>
        <v>12.625800164501085</v>
      </c>
      <c r="C35" s="34">
        <f t="shared" ref="C35:U35" si="24">C34*C33</f>
        <v>0.66698912017421252</v>
      </c>
      <c r="D35" s="34">
        <f t="shared" si="24"/>
        <v>0.63834581927221201</v>
      </c>
      <c r="E35" s="34">
        <f t="shared" si="24"/>
        <v>0.72808054374820419</v>
      </c>
      <c r="F35" s="34">
        <f t="shared" si="24"/>
        <v>0.60158597170106309</v>
      </c>
      <c r="G35" s="34">
        <f t="shared" si="24"/>
        <v>0.57575135538624922</v>
      </c>
      <c r="H35" s="34">
        <f t="shared" si="24"/>
        <v>0.65032040879096131</v>
      </c>
      <c r="I35" s="34">
        <f t="shared" si="24"/>
        <v>0.53747005100352341</v>
      </c>
      <c r="J35" s="34">
        <f t="shared" si="24"/>
        <v>0.52523795614384072</v>
      </c>
      <c r="K35" s="34">
        <f t="shared" si="24"/>
        <v>0.58655174905605412</v>
      </c>
      <c r="L35" s="34">
        <f t="shared" si="24"/>
        <v>0.48476719201764795</v>
      </c>
      <c r="M35" s="34">
        <f t="shared" si="24"/>
        <v>0.46837409856777573</v>
      </c>
      <c r="N35" s="34">
        <f t="shared" si="24"/>
        <v>0.52903607155792831</v>
      </c>
      <c r="O35" s="34">
        <f t="shared" si="24"/>
        <v>0.44223626528872811</v>
      </c>
      <c r="P35" s="34">
        <f t="shared" si="24"/>
        <v>0.42244660172704074</v>
      </c>
      <c r="Q35" s="34">
        <f t="shared" si="24"/>
        <v>0.47326746087286453</v>
      </c>
      <c r="R35" s="34">
        <f t="shared" si="24"/>
        <v>0.39435842304561675</v>
      </c>
      <c r="S35" s="34">
        <f t="shared" si="24"/>
        <v>0.38102263096194855</v>
      </c>
      <c r="T35" s="34">
        <f t="shared" si="24"/>
        <v>0.43388223598452796</v>
      </c>
      <c r="U35" s="34">
        <f t="shared" si="24"/>
        <v>0.35568870308473816</v>
      </c>
      <c r="V35" s="182">
        <f>SUM(B35:U35)</f>
        <v>22.52121282288622</v>
      </c>
      <c r="W35" s="35"/>
    </row>
    <row r="36" spans="1:23" ht="13.5" customHeight="1" thickBot="1">
      <c r="A36" s="37"/>
      <c r="B36" s="38"/>
      <c r="C36" s="38"/>
      <c r="D36" s="38"/>
      <c r="E36" s="38"/>
      <c r="F36" s="38"/>
      <c r="G36" s="38"/>
      <c r="H36" s="38"/>
      <c r="I36" s="38"/>
      <c r="J36" s="38"/>
      <c r="K36" s="38"/>
      <c r="L36" s="38"/>
      <c r="M36" s="38"/>
      <c r="N36" s="38"/>
      <c r="O36" s="38"/>
      <c r="P36" s="38"/>
      <c r="Q36" s="38"/>
      <c r="R36" s="38"/>
      <c r="S36" s="38"/>
      <c r="T36" s="38"/>
      <c r="U36" s="38"/>
      <c r="V36" s="183"/>
      <c r="W36" s="156"/>
    </row>
    <row r="37" spans="1:23" ht="13.5" customHeight="1">
      <c r="A37" s="12"/>
    </row>
  </sheetData>
  <sheetProtection password="8725" sheet="1" objects="1" scenarios="1"/>
  <mergeCells count="3">
    <mergeCell ref="A2:W2"/>
    <mergeCell ref="V3:V4"/>
    <mergeCell ref="W3:W4"/>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dimension ref="A1:DS254"/>
  <sheetViews>
    <sheetView zoomScale="80" zoomScaleNormal="80" workbookViewId="0">
      <selection activeCell="B7" sqref="B7"/>
    </sheetView>
  </sheetViews>
  <sheetFormatPr defaultRowHeight="12.75"/>
  <cols>
    <col min="1" max="1" width="45.5703125" style="73" customWidth="1"/>
    <col min="2" max="2" width="60.5703125" style="73" customWidth="1"/>
    <col min="3" max="3" width="29.5703125" style="73" customWidth="1"/>
    <col min="4" max="4" width="13.140625" style="73" customWidth="1"/>
    <col min="5" max="5" width="16.140625" style="73" customWidth="1"/>
    <col min="6" max="6" width="13.140625" style="73" customWidth="1"/>
    <col min="7" max="7" width="15.85546875" style="73" customWidth="1"/>
    <col min="8" max="8" width="54.28515625" style="73" customWidth="1"/>
    <col min="9" max="28" width="9.140625" style="255"/>
    <col min="29" max="16384" width="9.140625" style="73"/>
  </cols>
  <sheetData>
    <row r="1" spans="1:123" s="118" customFormat="1" ht="33.75" customHeight="1">
      <c r="A1" s="119" t="s">
        <v>1385</v>
      </c>
      <c r="B1" s="117"/>
      <c r="C1" s="117"/>
      <c r="D1" s="117"/>
      <c r="E1" s="117"/>
      <c r="F1" s="117"/>
      <c r="G1" s="117"/>
      <c r="H1" s="117"/>
      <c r="I1" s="317"/>
      <c r="J1" s="317"/>
      <c r="K1" s="317"/>
      <c r="L1" s="317"/>
      <c r="M1" s="317"/>
      <c r="N1" s="317"/>
      <c r="O1" s="317"/>
      <c r="P1" s="317"/>
      <c r="Q1" s="317"/>
      <c r="R1" s="317"/>
      <c r="S1" s="317"/>
      <c r="T1" s="317"/>
      <c r="U1" s="317"/>
      <c r="V1" s="317"/>
      <c r="W1" s="317"/>
      <c r="X1" s="318"/>
      <c r="Y1" s="318"/>
      <c r="Z1" s="318"/>
      <c r="AA1" s="318"/>
      <c r="AB1" s="318"/>
    </row>
    <row r="2" spans="1:123">
      <c r="A2" s="450" t="s">
        <v>695</v>
      </c>
      <c r="B2" s="450"/>
      <c r="C2" s="450"/>
      <c r="D2" s="450"/>
      <c r="E2" s="450"/>
      <c r="F2" s="450"/>
      <c r="G2" s="450"/>
      <c r="H2" s="450"/>
      <c r="I2" s="298"/>
      <c r="J2" s="298"/>
      <c r="K2" s="298"/>
      <c r="L2" s="298"/>
    </row>
    <row r="4" spans="1:123" ht="84" customHeight="1">
      <c r="A4" s="319" t="s">
        <v>327</v>
      </c>
      <c r="B4" s="319" t="s">
        <v>389</v>
      </c>
      <c r="C4" s="319" t="s">
        <v>1305</v>
      </c>
      <c r="D4" s="319" t="s">
        <v>328</v>
      </c>
      <c r="E4" s="319" t="s">
        <v>660</v>
      </c>
      <c r="F4" s="319" t="s">
        <v>329</v>
      </c>
      <c r="G4" s="319" t="s">
        <v>330</v>
      </c>
      <c r="H4" s="319" t="s">
        <v>390</v>
      </c>
    </row>
    <row r="5" spans="1:123" s="310" customFormat="1">
      <c r="A5" s="451" t="s">
        <v>1205</v>
      </c>
      <c r="B5" s="451"/>
      <c r="C5" s="451"/>
      <c r="D5" s="451"/>
      <c r="E5" s="451"/>
      <c r="F5" s="451"/>
      <c r="G5" s="451"/>
      <c r="H5" s="451"/>
      <c r="I5" s="255"/>
      <c r="J5" s="255"/>
      <c r="K5" s="255"/>
      <c r="L5" s="255"/>
      <c r="M5" s="255"/>
      <c r="N5" s="255"/>
      <c r="O5" s="255"/>
      <c r="P5" s="255"/>
      <c r="Q5" s="25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c r="DM5" s="255"/>
      <c r="DN5" s="255"/>
      <c r="DO5" s="255"/>
      <c r="DP5" s="255"/>
      <c r="DQ5" s="255"/>
      <c r="DR5" s="255"/>
      <c r="DS5" s="255"/>
    </row>
    <row r="6" spans="1:123" s="255" customFormat="1">
      <c r="A6" s="320" t="s">
        <v>331</v>
      </c>
      <c r="B6" s="321"/>
      <c r="C6" s="321"/>
      <c r="D6" s="319"/>
      <c r="E6" s="321"/>
      <c r="F6" s="321"/>
      <c r="G6" s="319"/>
      <c r="H6" s="321"/>
    </row>
    <row r="7" spans="1:123" s="255" customFormat="1" ht="140.25">
      <c r="A7" s="223" t="s">
        <v>1306</v>
      </c>
      <c r="B7" s="223" t="s">
        <v>1307</v>
      </c>
      <c r="C7" s="311" t="s">
        <v>1308</v>
      </c>
      <c r="D7" s="112" t="s">
        <v>332</v>
      </c>
      <c r="E7" s="299">
        <f>6750/1000000</f>
        <v>6.7499999999999999E-3</v>
      </c>
      <c r="F7" s="299">
        <f>10125/1000000</f>
        <v>1.0125E-2</v>
      </c>
      <c r="G7" s="112" t="s">
        <v>333</v>
      </c>
      <c r="H7" s="112" t="s">
        <v>655</v>
      </c>
    </row>
    <row r="8" spans="1:123" s="255" customFormat="1" ht="70.5" customHeight="1">
      <c r="A8" s="112" t="s">
        <v>656</v>
      </c>
      <c r="B8" s="112" t="s">
        <v>1211</v>
      </c>
      <c r="C8" s="223" t="s">
        <v>1309</v>
      </c>
      <c r="D8" s="112" t="s">
        <v>332</v>
      </c>
      <c r="E8" s="78">
        <f>20000/1000000</f>
        <v>0.02</v>
      </c>
      <c r="F8" s="112">
        <f>20000/1000000</f>
        <v>0.02</v>
      </c>
      <c r="G8" s="112" t="s">
        <v>334</v>
      </c>
      <c r="H8" s="112" t="s">
        <v>657</v>
      </c>
    </row>
    <row r="9" spans="1:123" s="255" customFormat="1">
      <c r="A9" s="440" t="s">
        <v>690</v>
      </c>
      <c r="B9" s="452"/>
      <c r="C9" s="452"/>
      <c r="D9" s="452"/>
      <c r="E9" s="452"/>
      <c r="F9" s="452"/>
      <c r="G9" s="452"/>
      <c r="H9" s="453"/>
    </row>
    <row r="10" spans="1:123" s="255" customFormat="1" ht="71.25" customHeight="1">
      <c r="A10" s="112" t="s">
        <v>335</v>
      </c>
      <c r="B10" s="112" t="s">
        <v>336</v>
      </c>
      <c r="C10" s="112" t="s">
        <v>1212</v>
      </c>
      <c r="D10" s="112" t="s">
        <v>337</v>
      </c>
      <c r="E10" s="78">
        <f>10000/1000000</f>
        <v>0.01</v>
      </c>
      <c r="F10" s="112">
        <f>75000/1000000</f>
        <v>7.4999999999999997E-2</v>
      </c>
      <c r="G10" s="112">
        <v>2015</v>
      </c>
      <c r="H10" s="112" t="s">
        <v>338</v>
      </c>
    </row>
    <row r="11" spans="1:123" s="255" customFormat="1" ht="38.25">
      <c r="A11" s="112" t="s">
        <v>339</v>
      </c>
      <c r="B11" s="112" t="s">
        <v>336</v>
      </c>
      <c r="C11" s="112" t="s">
        <v>1212</v>
      </c>
      <c r="D11" s="112" t="s">
        <v>337</v>
      </c>
      <c r="E11" s="78">
        <f>5000/1000000</f>
        <v>5.0000000000000001E-3</v>
      </c>
      <c r="F11" s="112">
        <f>10000/1000000</f>
        <v>0.01</v>
      </c>
      <c r="G11" s="112">
        <v>2015</v>
      </c>
      <c r="H11" s="112" t="s">
        <v>340</v>
      </c>
    </row>
    <row r="12" spans="1:123" s="255" customFormat="1" ht="59.25" customHeight="1">
      <c r="A12" s="112" t="s">
        <v>341</v>
      </c>
      <c r="B12" s="112" t="s">
        <v>342</v>
      </c>
      <c r="C12" s="112" t="s">
        <v>1213</v>
      </c>
      <c r="D12" s="112" t="s">
        <v>337</v>
      </c>
      <c r="E12" s="78">
        <f>5000/1000000</f>
        <v>5.0000000000000001E-3</v>
      </c>
      <c r="F12" s="112">
        <f>30000/1000000</f>
        <v>0.03</v>
      </c>
      <c r="G12" s="112">
        <v>2015</v>
      </c>
      <c r="H12" s="112" t="s">
        <v>343</v>
      </c>
    </row>
    <row r="13" spans="1:123" s="312" customFormat="1" ht="81.75" customHeight="1">
      <c r="A13" s="112" t="s">
        <v>344</v>
      </c>
      <c r="B13" s="223" t="s">
        <v>1310</v>
      </c>
      <c r="C13" s="112" t="s">
        <v>1214</v>
      </c>
      <c r="D13" s="112" t="s">
        <v>337</v>
      </c>
      <c r="E13" s="112">
        <f>10000/1000000</f>
        <v>0.01</v>
      </c>
      <c r="F13" s="112">
        <f>100000/1000000</f>
        <v>0.1</v>
      </c>
      <c r="G13" s="112">
        <v>2015</v>
      </c>
      <c r="H13" s="112" t="s">
        <v>345</v>
      </c>
      <c r="I13" s="255"/>
      <c r="J13" s="255"/>
      <c r="K13" s="255"/>
      <c r="L13" s="255"/>
      <c r="M13" s="255"/>
      <c r="N13" s="255"/>
      <c r="O13" s="255"/>
      <c r="P13" s="255"/>
      <c r="Q13" s="255"/>
      <c r="R13" s="255"/>
      <c r="S13" s="255"/>
      <c r="T13" s="255"/>
      <c r="U13" s="255"/>
      <c r="V13" s="255"/>
      <c r="W13" s="255"/>
      <c r="X13" s="255"/>
      <c r="Y13" s="255"/>
      <c r="Z13" s="255"/>
      <c r="AA13" s="255"/>
      <c r="AB13" s="255"/>
    </row>
    <row r="14" spans="1:123" s="255" customFormat="1" ht="67.5" customHeight="1">
      <c r="A14" s="112" t="s">
        <v>346</v>
      </c>
      <c r="B14" s="112" t="s">
        <v>336</v>
      </c>
      <c r="C14" s="112" t="s">
        <v>1212</v>
      </c>
      <c r="D14" s="78" t="s">
        <v>347</v>
      </c>
      <c r="E14" s="78">
        <f>5000/1000000</f>
        <v>5.0000000000000001E-3</v>
      </c>
      <c r="F14" s="78">
        <f>50000/1000000</f>
        <v>0.05</v>
      </c>
      <c r="G14" s="78" t="s">
        <v>348</v>
      </c>
      <c r="H14" s="78" t="s">
        <v>349</v>
      </c>
    </row>
    <row r="15" spans="1:123" s="313" customFormat="1">
      <c r="A15" s="440" t="s">
        <v>350</v>
      </c>
      <c r="B15" s="452"/>
      <c r="C15" s="452"/>
      <c r="D15" s="452"/>
      <c r="E15" s="452"/>
      <c r="F15" s="452"/>
      <c r="G15" s="452"/>
      <c r="H15" s="453"/>
      <c r="I15" s="255"/>
      <c r="J15" s="255"/>
      <c r="K15" s="255"/>
      <c r="L15" s="255"/>
      <c r="M15" s="255"/>
      <c r="N15" s="255"/>
      <c r="O15" s="255"/>
      <c r="P15" s="255"/>
      <c r="Q15" s="255"/>
      <c r="R15" s="255"/>
      <c r="S15" s="255"/>
      <c r="T15" s="255"/>
      <c r="U15" s="255"/>
      <c r="V15" s="255"/>
      <c r="W15" s="255"/>
      <c r="X15" s="255"/>
      <c r="Y15" s="255"/>
      <c r="Z15" s="255"/>
      <c r="AA15" s="255"/>
      <c r="AB15" s="255"/>
    </row>
    <row r="16" spans="1:123" s="255" customFormat="1" ht="58.5" customHeight="1">
      <c r="A16" s="112" t="s">
        <v>351</v>
      </c>
      <c r="B16" s="112" t="s">
        <v>352</v>
      </c>
      <c r="C16" s="112" t="s">
        <v>1215</v>
      </c>
      <c r="D16" s="112" t="s">
        <v>347</v>
      </c>
      <c r="E16" s="112">
        <f>50000/1000000</f>
        <v>0.05</v>
      </c>
      <c r="F16" s="112">
        <f>1000000/1000000</f>
        <v>1</v>
      </c>
      <c r="G16" s="112" t="s">
        <v>348</v>
      </c>
      <c r="H16" s="223" t="s">
        <v>1262</v>
      </c>
    </row>
    <row r="17" spans="1:28" s="255" customFormat="1">
      <c r="A17" s="451" t="s">
        <v>1206</v>
      </c>
      <c r="B17" s="451"/>
      <c r="C17" s="451"/>
      <c r="D17" s="451"/>
      <c r="E17" s="451"/>
      <c r="F17" s="451"/>
      <c r="G17" s="451"/>
      <c r="H17" s="451"/>
    </row>
    <row r="18" spans="1:28" s="315" customFormat="1">
      <c r="A18" s="449" t="s">
        <v>353</v>
      </c>
      <c r="B18" s="441"/>
      <c r="C18" s="441"/>
      <c r="D18" s="441"/>
      <c r="E18" s="441"/>
      <c r="F18" s="441"/>
      <c r="G18" s="441"/>
      <c r="H18" s="442"/>
      <c r="I18" s="314"/>
      <c r="J18" s="314"/>
      <c r="K18" s="314"/>
      <c r="L18" s="314"/>
      <c r="M18" s="314"/>
      <c r="N18" s="314"/>
      <c r="O18" s="314"/>
      <c r="P18" s="314"/>
      <c r="Q18" s="314"/>
      <c r="R18" s="314"/>
      <c r="S18" s="314"/>
      <c r="T18" s="314"/>
      <c r="U18" s="314"/>
      <c r="V18" s="314"/>
      <c r="W18" s="314"/>
      <c r="X18" s="314"/>
      <c r="Y18" s="314"/>
      <c r="Z18" s="314"/>
      <c r="AA18" s="314"/>
      <c r="AB18" s="314"/>
    </row>
    <row r="19" spans="1:28" s="255" customFormat="1" ht="140.25">
      <c r="A19" s="112" t="s">
        <v>354</v>
      </c>
      <c r="B19" s="112" t="s">
        <v>1216</v>
      </c>
      <c r="C19" s="223" t="s">
        <v>1311</v>
      </c>
      <c r="D19" s="112" t="s">
        <v>355</v>
      </c>
      <c r="E19" s="316">
        <f>10000/1000000</f>
        <v>0.01</v>
      </c>
      <c r="F19" s="316">
        <f>1000000/1000000</f>
        <v>1</v>
      </c>
      <c r="G19" s="112" t="s">
        <v>607</v>
      </c>
      <c r="H19" s="112" t="s">
        <v>608</v>
      </c>
    </row>
    <row r="20" spans="1:28" s="255" customFormat="1">
      <c r="A20" s="440" t="s">
        <v>356</v>
      </c>
      <c r="B20" s="441"/>
      <c r="C20" s="441"/>
      <c r="D20" s="441"/>
      <c r="E20" s="441"/>
      <c r="F20" s="441"/>
      <c r="G20" s="441"/>
      <c r="H20" s="442"/>
    </row>
    <row r="21" spans="1:28" s="255" customFormat="1" ht="140.25">
      <c r="A21" s="112" t="s">
        <v>335</v>
      </c>
      <c r="B21" s="112" t="s">
        <v>1217</v>
      </c>
      <c r="C21" s="223" t="s">
        <v>1312</v>
      </c>
      <c r="D21" s="112" t="s">
        <v>355</v>
      </c>
      <c r="E21" s="78">
        <f>10000/1000000</f>
        <v>0.01</v>
      </c>
      <c r="F21" s="112">
        <f>75000/1000000</f>
        <v>7.4999999999999997E-2</v>
      </c>
      <c r="G21" s="112" t="s">
        <v>624</v>
      </c>
      <c r="H21" s="112" t="s">
        <v>338</v>
      </c>
    </row>
    <row r="22" spans="1:28" s="255" customFormat="1" ht="140.25">
      <c r="A22" s="112" t="s">
        <v>339</v>
      </c>
      <c r="B22" s="112" t="s">
        <v>1217</v>
      </c>
      <c r="C22" s="223" t="s">
        <v>1312</v>
      </c>
      <c r="D22" s="112" t="s">
        <v>355</v>
      </c>
      <c r="E22" s="78">
        <f>5000/1000000</f>
        <v>5.0000000000000001E-3</v>
      </c>
      <c r="F22" s="112">
        <f>10000/1000000</f>
        <v>0.01</v>
      </c>
      <c r="G22" s="112" t="s">
        <v>625</v>
      </c>
      <c r="H22" s="112" t="s">
        <v>340</v>
      </c>
    </row>
    <row r="23" spans="1:28" s="255" customFormat="1" ht="140.25">
      <c r="A23" s="112" t="s">
        <v>341</v>
      </c>
      <c r="B23" s="112" t="s">
        <v>1218</v>
      </c>
      <c r="C23" s="223" t="s">
        <v>1313</v>
      </c>
      <c r="D23" s="112" t="s">
        <v>355</v>
      </c>
      <c r="E23" s="78">
        <f>5000/1000000</f>
        <v>5.0000000000000001E-3</v>
      </c>
      <c r="F23" s="112">
        <f>30000/1000000</f>
        <v>0.03</v>
      </c>
      <c r="G23" s="112" t="s">
        <v>614</v>
      </c>
      <c r="H23" s="112" t="s">
        <v>343</v>
      </c>
    </row>
    <row r="24" spans="1:28" s="255" customFormat="1" ht="140.25">
      <c r="A24" s="78" t="s">
        <v>346</v>
      </c>
      <c r="B24" s="112" t="s">
        <v>1219</v>
      </c>
      <c r="C24" s="223" t="s">
        <v>1312</v>
      </c>
      <c r="D24" s="78" t="s">
        <v>347</v>
      </c>
      <c r="E24" s="78">
        <f>10000/1000000</f>
        <v>0.01</v>
      </c>
      <c r="F24" s="78">
        <f>100000/1000000</f>
        <v>0.1</v>
      </c>
      <c r="G24" s="78" t="s">
        <v>615</v>
      </c>
      <c r="H24" s="78" t="s">
        <v>357</v>
      </c>
    </row>
    <row r="25" spans="1:28" s="255" customFormat="1" ht="153">
      <c r="A25" s="78" t="s">
        <v>358</v>
      </c>
      <c r="B25" s="112" t="s">
        <v>1220</v>
      </c>
      <c r="C25" s="223" t="s">
        <v>1314</v>
      </c>
      <c r="D25" s="112" t="s">
        <v>355</v>
      </c>
      <c r="E25" s="78">
        <f>10000/1000000</f>
        <v>0.01</v>
      </c>
      <c r="F25" s="78">
        <f>100000/1000000</f>
        <v>0.1</v>
      </c>
      <c r="G25" s="78" t="s">
        <v>616</v>
      </c>
      <c r="H25" s="78" t="s">
        <v>359</v>
      </c>
    </row>
    <row r="26" spans="1:28" s="255" customFormat="1" ht="153">
      <c r="A26" s="78" t="s">
        <v>360</v>
      </c>
      <c r="B26" s="112" t="s">
        <v>1221</v>
      </c>
      <c r="C26" s="223" t="s">
        <v>1314</v>
      </c>
      <c r="D26" s="112" t="s">
        <v>355</v>
      </c>
      <c r="E26" s="78">
        <f>5000/1000000</f>
        <v>5.0000000000000001E-3</v>
      </c>
      <c r="F26" s="78">
        <f>10000/1000000</f>
        <v>0.01</v>
      </c>
      <c r="G26" s="78" t="s">
        <v>616</v>
      </c>
      <c r="H26" s="78" t="s">
        <v>361</v>
      </c>
    </row>
    <row r="27" spans="1:28" s="255" customFormat="1" ht="153">
      <c r="A27" s="78" t="s">
        <v>362</v>
      </c>
      <c r="B27" s="112" t="s">
        <v>1221</v>
      </c>
      <c r="C27" s="223" t="s">
        <v>1314</v>
      </c>
      <c r="D27" s="112" t="s">
        <v>355</v>
      </c>
      <c r="E27" s="78">
        <f>50000/1000000</f>
        <v>0.05</v>
      </c>
      <c r="F27" s="78">
        <f>500000/1000000</f>
        <v>0.5</v>
      </c>
      <c r="G27" s="78" t="s">
        <v>616</v>
      </c>
      <c r="H27" s="78" t="s">
        <v>363</v>
      </c>
    </row>
    <row r="28" spans="1:28" s="255" customFormat="1" ht="153">
      <c r="A28" s="78" t="s">
        <v>364</v>
      </c>
      <c r="B28" s="112" t="s">
        <v>1222</v>
      </c>
      <c r="C28" s="223" t="s">
        <v>1315</v>
      </c>
      <c r="D28" s="112" t="s">
        <v>355</v>
      </c>
      <c r="E28" s="78">
        <f>100000/1000000</f>
        <v>0.1</v>
      </c>
      <c r="F28" s="78">
        <f>500000/1000000</f>
        <v>0.5</v>
      </c>
      <c r="G28" s="78" t="s">
        <v>617</v>
      </c>
      <c r="H28" s="78" t="s">
        <v>365</v>
      </c>
    </row>
    <row r="29" spans="1:28" s="313" customFormat="1">
      <c r="A29" s="443" t="s">
        <v>366</v>
      </c>
      <c r="B29" s="443"/>
      <c r="C29" s="443"/>
      <c r="D29" s="443"/>
      <c r="E29" s="443"/>
      <c r="F29" s="443"/>
      <c r="G29" s="443"/>
      <c r="H29" s="443"/>
      <c r="I29" s="255"/>
      <c r="J29" s="255"/>
      <c r="K29" s="255"/>
      <c r="L29" s="255"/>
      <c r="M29" s="255"/>
      <c r="N29" s="255"/>
      <c r="O29" s="255"/>
      <c r="P29" s="255"/>
      <c r="Q29" s="255"/>
      <c r="R29" s="255"/>
      <c r="S29" s="255"/>
      <c r="T29" s="255"/>
      <c r="U29" s="255"/>
      <c r="V29" s="255"/>
      <c r="W29" s="255"/>
      <c r="X29" s="255"/>
      <c r="Y29" s="255"/>
      <c r="Z29" s="255"/>
      <c r="AA29" s="255"/>
      <c r="AB29" s="255"/>
    </row>
    <row r="30" spans="1:28" ht="149.25" customHeight="1">
      <c r="A30" s="112" t="s">
        <v>351</v>
      </c>
      <c r="B30" s="112" t="s">
        <v>1223</v>
      </c>
      <c r="C30" s="223" t="s">
        <v>1316</v>
      </c>
      <c r="D30" s="112" t="s">
        <v>347</v>
      </c>
      <c r="E30" s="112">
        <f>50000/1000000</f>
        <v>0.05</v>
      </c>
      <c r="F30" s="112">
        <f>1000000/1000000</f>
        <v>1</v>
      </c>
      <c r="G30" s="112" t="s">
        <v>348</v>
      </c>
      <c r="H30" s="112" t="s">
        <v>367</v>
      </c>
    </row>
    <row r="31" spans="1:28" ht="51">
      <c r="A31" s="78" t="s">
        <v>368</v>
      </c>
      <c r="B31" s="112" t="s">
        <v>609</v>
      </c>
      <c r="C31" s="112" t="s">
        <v>1224</v>
      </c>
      <c r="D31" s="112" t="s">
        <v>369</v>
      </c>
      <c r="E31" s="78">
        <f>100000/1000000</f>
        <v>0.1</v>
      </c>
      <c r="F31" s="78">
        <f>3000000/1000000</f>
        <v>3</v>
      </c>
      <c r="G31" s="112" t="s">
        <v>370</v>
      </c>
      <c r="H31" s="112" t="s">
        <v>371</v>
      </c>
    </row>
    <row r="32" spans="1:28" ht="140.25">
      <c r="A32" s="78" t="s">
        <v>372</v>
      </c>
      <c r="B32" s="112" t="s">
        <v>1223</v>
      </c>
      <c r="C32" s="223" t="s">
        <v>1316</v>
      </c>
      <c r="D32" s="112" t="s">
        <v>355</v>
      </c>
      <c r="E32" s="78">
        <v>0</v>
      </c>
      <c r="F32" s="78">
        <f>1000000/1000000</f>
        <v>1</v>
      </c>
      <c r="G32" s="78" t="s">
        <v>610</v>
      </c>
      <c r="H32" s="78" t="s">
        <v>373</v>
      </c>
    </row>
    <row r="33" spans="1:28" ht="140.25">
      <c r="A33" s="78" t="s">
        <v>374</v>
      </c>
      <c r="B33" s="112" t="s">
        <v>1225</v>
      </c>
      <c r="C33" s="223" t="s">
        <v>1317</v>
      </c>
      <c r="D33" s="112" t="s">
        <v>355</v>
      </c>
      <c r="E33" s="78">
        <v>0</v>
      </c>
      <c r="F33" s="78">
        <f>1000000/1000000</f>
        <v>1</v>
      </c>
      <c r="G33" s="78" t="s">
        <v>616</v>
      </c>
      <c r="H33" s="78" t="s">
        <v>691</v>
      </c>
    </row>
    <row r="34" spans="1:28" ht="140.25">
      <c r="A34" s="78" t="s">
        <v>375</v>
      </c>
      <c r="B34" s="78" t="s">
        <v>1226</v>
      </c>
      <c r="C34" s="223" t="s">
        <v>1318</v>
      </c>
      <c r="D34" s="78" t="s">
        <v>376</v>
      </c>
      <c r="E34" s="78">
        <f>100000/1000000</f>
        <v>0.1</v>
      </c>
      <c r="F34" s="78">
        <f>500000/1000000</f>
        <v>0.5</v>
      </c>
      <c r="G34" s="78" t="s">
        <v>377</v>
      </c>
      <c r="H34" s="78" t="s">
        <v>692</v>
      </c>
    </row>
    <row r="35" spans="1:28" s="255" customFormat="1">
      <c r="A35" s="444" t="s">
        <v>1207</v>
      </c>
      <c r="B35" s="445"/>
      <c r="C35" s="445"/>
      <c r="D35" s="445"/>
      <c r="E35" s="445"/>
      <c r="F35" s="445"/>
      <c r="G35" s="445"/>
      <c r="H35" s="445"/>
    </row>
    <row r="36" spans="1:28" ht="51">
      <c r="A36" s="78" t="s">
        <v>378</v>
      </c>
      <c r="B36" s="112" t="s">
        <v>379</v>
      </c>
      <c r="C36" s="112" t="s">
        <v>1227</v>
      </c>
      <c r="D36" s="112" t="s">
        <v>380</v>
      </c>
      <c r="E36" s="112" t="s">
        <v>611</v>
      </c>
      <c r="F36" s="112" t="s">
        <v>611</v>
      </c>
      <c r="G36" s="112" t="s">
        <v>693</v>
      </c>
      <c r="H36" s="112" t="s">
        <v>1208</v>
      </c>
    </row>
    <row r="37" spans="1:28" ht="76.5">
      <c r="A37" s="78" t="s">
        <v>381</v>
      </c>
      <c r="B37" s="112" t="s">
        <v>382</v>
      </c>
      <c r="C37" s="112" t="s">
        <v>1228</v>
      </c>
      <c r="D37" s="112" t="s">
        <v>383</v>
      </c>
      <c r="E37" s="112" t="s">
        <v>611</v>
      </c>
      <c r="F37" s="112" t="s">
        <v>611</v>
      </c>
      <c r="G37" s="112" t="s">
        <v>693</v>
      </c>
      <c r="H37" s="112" t="s">
        <v>694</v>
      </c>
    </row>
    <row r="38" spans="1:28" ht="51">
      <c r="A38" s="78" t="s">
        <v>384</v>
      </c>
      <c r="B38" s="112" t="s">
        <v>385</v>
      </c>
      <c r="C38" s="223" t="s">
        <v>1319</v>
      </c>
      <c r="D38" s="112" t="s">
        <v>383</v>
      </c>
      <c r="E38" s="112" t="s">
        <v>611</v>
      </c>
      <c r="F38" s="112" t="s">
        <v>611</v>
      </c>
      <c r="G38" s="112" t="s">
        <v>693</v>
      </c>
      <c r="H38" s="112" t="s">
        <v>612</v>
      </c>
    </row>
    <row r="39" spans="1:28" ht="51">
      <c r="A39" s="78" t="s">
        <v>386</v>
      </c>
      <c r="B39" s="112" t="s">
        <v>387</v>
      </c>
      <c r="C39" s="223" t="s">
        <v>1320</v>
      </c>
      <c r="D39" s="112" t="s">
        <v>383</v>
      </c>
      <c r="E39" s="112" t="s">
        <v>611</v>
      </c>
      <c r="F39" s="112" t="s">
        <v>611</v>
      </c>
      <c r="G39" s="112" t="s">
        <v>693</v>
      </c>
      <c r="H39" s="112" t="s">
        <v>1209</v>
      </c>
    </row>
    <row r="40" spans="1:28" ht="38.25">
      <c r="A40" s="78" t="s">
        <v>388</v>
      </c>
      <c r="B40" s="112" t="s">
        <v>611</v>
      </c>
      <c r="C40" s="223" t="s">
        <v>1320</v>
      </c>
      <c r="D40" s="112" t="s">
        <v>611</v>
      </c>
      <c r="E40" s="112" t="s">
        <v>611</v>
      </c>
      <c r="F40" s="112" t="s">
        <v>611</v>
      </c>
      <c r="G40" s="112" t="s">
        <v>611</v>
      </c>
      <c r="H40" s="112" t="s">
        <v>613</v>
      </c>
    </row>
    <row r="43" spans="1:28" ht="34.5" customHeight="1">
      <c r="A43" s="393" t="s">
        <v>1321</v>
      </c>
      <c r="B43" s="393"/>
      <c r="C43" s="393"/>
      <c r="D43" s="393"/>
      <c r="E43" s="393"/>
      <c r="F43" s="393"/>
      <c r="G43" s="393"/>
      <c r="H43" s="393"/>
    </row>
    <row r="45" spans="1:28" s="74" customFormat="1" ht="28.5" customHeight="1">
      <c r="A45" s="392" t="s">
        <v>1229</v>
      </c>
      <c r="B45" s="392"/>
      <c r="C45" s="392"/>
      <c r="D45" s="392"/>
      <c r="E45" s="392"/>
      <c r="F45" s="392"/>
      <c r="G45" s="392"/>
      <c r="H45" s="392"/>
      <c r="I45" s="99"/>
      <c r="J45" s="99"/>
      <c r="K45" s="99"/>
      <c r="L45" s="99"/>
      <c r="M45" s="99"/>
      <c r="N45" s="99"/>
      <c r="O45" s="99"/>
      <c r="P45" s="99"/>
      <c r="Q45" s="99"/>
      <c r="R45" s="99"/>
      <c r="S45" s="99"/>
      <c r="T45" s="99"/>
      <c r="U45" s="99"/>
      <c r="V45" s="99"/>
      <c r="W45" s="99"/>
      <c r="X45" s="99"/>
      <c r="Y45" s="99"/>
      <c r="Z45" s="99"/>
      <c r="AA45" s="99"/>
      <c r="AB45" s="99"/>
    </row>
    <row r="46" spans="1:28" s="74" customFormat="1">
      <c r="A46" s="3"/>
      <c r="D46" s="246"/>
      <c r="I46" s="99"/>
      <c r="J46" s="99"/>
      <c r="K46" s="99"/>
      <c r="L46" s="99"/>
      <c r="M46" s="99"/>
      <c r="N46" s="99"/>
      <c r="O46" s="99"/>
      <c r="P46" s="99"/>
      <c r="Q46" s="99"/>
      <c r="R46" s="99"/>
      <c r="S46" s="99"/>
      <c r="T46" s="99"/>
      <c r="U46" s="99"/>
      <c r="V46" s="99"/>
      <c r="W46" s="99"/>
      <c r="X46" s="99"/>
      <c r="Y46" s="99"/>
      <c r="Z46" s="99"/>
      <c r="AA46" s="99"/>
      <c r="AB46" s="99"/>
    </row>
    <row r="47" spans="1:28" s="3" customFormat="1">
      <c r="A47" s="16" t="s">
        <v>472</v>
      </c>
      <c r="B47" s="16" t="s">
        <v>1304</v>
      </c>
      <c r="I47" s="20"/>
      <c r="J47" s="20"/>
      <c r="K47" s="20"/>
      <c r="L47" s="20"/>
      <c r="M47" s="20"/>
      <c r="N47" s="20"/>
      <c r="O47" s="20"/>
      <c r="P47" s="20"/>
      <c r="Q47" s="20"/>
      <c r="R47" s="20"/>
      <c r="S47" s="20"/>
      <c r="T47" s="20"/>
      <c r="U47" s="20"/>
      <c r="V47" s="20"/>
      <c r="W47" s="20"/>
      <c r="X47" s="20"/>
      <c r="Y47" s="20"/>
      <c r="Z47" s="20"/>
      <c r="AA47" s="20"/>
      <c r="AB47" s="20"/>
    </row>
    <row r="48" spans="1:28" s="74" customFormat="1">
      <c r="A48" s="16" t="s">
        <v>1210</v>
      </c>
      <c r="B48" s="361"/>
      <c r="I48" s="99"/>
      <c r="J48" s="99"/>
      <c r="K48" s="99"/>
      <c r="L48" s="99"/>
      <c r="M48" s="99"/>
      <c r="N48" s="99"/>
      <c r="O48" s="99"/>
      <c r="P48" s="99"/>
      <c r="Q48" s="99"/>
      <c r="R48" s="99"/>
      <c r="S48" s="99"/>
      <c r="T48" s="99"/>
      <c r="U48" s="99"/>
      <c r="V48" s="99"/>
      <c r="W48" s="99"/>
      <c r="X48" s="99"/>
      <c r="Y48" s="99"/>
      <c r="Z48" s="99"/>
      <c r="AA48" s="99"/>
      <c r="AB48" s="99"/>
    </row>
    <row r="49" spans="1:28" s="74" customFormat="1" ht="41.25" customHeight="1">
      <c r="A49" s="51" t="s">
        <v>473</v>
      </c>
      <c r="B49" s="68" t="s">
        <v>1230</v>
      </c>
      <c r="I49" s="99"/>
      <c r="J49" s="99"/>
      <c r="K49" s="99"/>
      <c r="L49" s="99"/>
      <c r="M49" s="99"/>
      <c r="N49" s="99"/>
      <c r="O49" s="99"/>
      <c r="P49" s="99"/>
      <c r="Q49" s="99"/>
      <c r="R49" s="99"/>
      <c r="S49" s="99"/>
      <c r="T49" s="99"/>
      <c r="U49" s="99"/>
      <c r="V49" s="99"/>
      <c r="W49" s="99"/>
      <c r="X49" s="99"/>
      <c r="Y49" s="99"/>
      <c r="Z49" s="99"/>
      <c r="AA49" s="99"/>
      <c r="AB49" s="99"/>
    </row>
    <row r="50" spans="1:28" s="74" customFormat="1" ht="41.25" customHeight="1">
      <c r="A50" s="51" t="s">
        <v>474</v>
      </c>
      <c r="B50" s="68" t="s">
        <v>1230</v>
      </c>
      <c r="I50" s="99"/>
      <c r="J50" s="99"/>
      <c r="K50" s="99"/>
      <c r="L50" s="99"/>
      <c r="M50" s="99"/>
      <c r="N50" s="99"/>
      <c r="O50" s="99"/>
      <c r="P50" s="99"/>
      <c r="Q50" s="99"/>
      <c r="R50" s="99"/>
      <c r="S50" s="99"/>
      <c r="T50" s="99"/>
      <c r="U50" s="99"/>
      <c r="V50" s="99"/>
      <c r="W50" s="99"/>
      <c r="X50" s="99"/>
      <c r="Y50" s="99"/>
      <c r="Z50" s="99"/>
      <c r="AA50" s="99"/>
      <c r="AB50" s="99"/>
    </row>
    <row r="51" spans="1:28" s="74" customFormat="1" ht="40.5" customHeight="1">
      <c r="A51" s="51" t="s">
        <v>475</v>
      </c>
      <c r="B51" s="68" t="s">
        <v>1230</v>
      </c>
      <c r="I51" s="99"/>
      <c r="J51" s="99"/>
      <c r="K51" s="99"/>
      <c r="L51" s="99"/>
      <c r="M51" s="99"/>
      <c r="N51" s="99"/>
      <c r="O51" s="99"/>
      <c r="P51" s="99"/>
      <c r="Q51" s="99"/>
      <c r="R51" s="99"/>
      <c r="S51" s="99"/>
      <c r="T51" s="99"/>
      <c r="U51" s="99"/>
      <c r="V51" s="99"/>
      <c r="W51" s="99"/>
      <c r="X51" s="99"/>
      <c r="Y51" s="99"/>
      <c r="Z51" s="99"/>
      <c r="AA51" s="99"/>
      <c r="AB51" s="99"/>
    </row>
    <row r="52" spans="1:28" s="74" customFormat="1" ht="43.5" customHeight="1">
      <c r="A52" s="51" t="s">
        <v>273</v>
      </c>
      <c r="B52" s="68" t="s">
        <v>1230</v>
      </c>
      <c r="I52" s="99"/>
      <c r="J52" s="99"/>
      <c r="K52" s="99"/>
      <c r="L52" s="99"/>
      <c r="M52" s="99"/>
      <c r="N52" s="99"/>
      <c r="O52" s="99"/>
      <c r="P52" s="99"/>
      <c r="Q52" s="99"/>
      <c r="R52" s="99"/>
      <c r="S52" s="99"/>
      <c r="T52" s="99"/>
      <c r="U52" s="99"/>
      <c r="V52" s="99"/>
      <c r="W52" s="99"/>
      <c r="X52" s="99"/>
      <c r="Y52" s="99"/>
      <c r="Z52" s="99"/>
      <c r="AA52" s="99"/>
      <c r="AB52" s="99"/>
    </row>
    <row r="53" spans="1:28" s="74" customFormat="1" ht="39.75" customHeight="1">
      <c r="A53" s="51" t="s">
        <v>476</v>
      </c>
      <c r="B53" s="68" t="s">
        <v>1230</v>
      </c>
      <c r="I53" s="99"/>
      <c r="J53" s="99"/>
      <c r="K53" s="99"/>
      <c r="L53" s="99"/>
      <c r="M53" s="99"/>
      <c r="N53" s="99"/>
      <c r="O53" s="99"/>
      <c r="P53" s="99"/>
      <c r="Q53" s="99"/>
      <c r="R53" s="99"/>
      <c r="S53" s="99"/>
      <c r="T53" s="99"/>
      <c r="U53" s="99"/>
      <c r="V53" s="99"/>
      <c r="W53" s="99"/>
      <c r="X53" s="99"/>
      <c r="Y53" s="99"/>
      <c r="Z53" s="99"/>
      <c r="AA53" s="99"/>
      <c r="AB53" s="99"/>
    </row>
    <row r="54" spans="1:28" s="74" customFormat="1" ht="39.75" customHeight="1">
      <c r="A54" s="51" t="s">
        <v>477</v>
      </c>
      <c r="B54" s="68" t="s">
        <v>1230</v>
      </c>
      <c r="I54" s="99"/>
      <c r="J54" s="99"/>
      <c r="K54" s="99"/>
      <c r="L54" s="99"/>
      <c r="M54" s="99"/>
      <c r="N54" s="99"/>
      <c r="O54" s="99"/>
      <c r="P54" s="99"/>
      <c r="Q54" s="99"/>
      <c r="R54" s="99"/>
      <c r="S54" s="99"/>
      <c r="T54" s="99"/>
      <c r="U54" s="99"/>
      <c r="V54" s="99"/>
      <c r="W54" s="99"/>
      <c r="X54" s="99"/>
      <c r="Y54" s="99"/>
      <c r="Z54" s="99"/>
      <c r="AA54" s="99"/>
      <c r="AB54" s="99"/>
    </row>
    <row r="55" spans="1:28" s="74" customFormat="1" ht="39.75" customHeight="1">
      <c r="A55" s="51" t="s">
        <v>483</v>
      </c>
      <c r="B55" s="68" t="s">
        <v>1231</v>
      </c>
      <c r="I55" s="99"/>
      <c r="J55" s="99"/>
      <c r="K55" s="99"/>
      <c r="L55" s="99"/>
      <c r="M55" s="99"/>
      <c r="N55" s="99"/>
      <c r="O55" s="99"/>
      <c r="P55" s="99"/>
      <c r="Q55" s="99"/>
      <c r="R55" s="99"/>
      <c r="S55" s="99"/>
      <c r="T55" s="99"/>
      <c r="U55" s="99"/>
      <c r="V55" s="99"/>
      <c r="W55" s="99"/>
      <c r="X55" s="99"/>
      <c r="Y55" s="99"/>
      <c r="Z55" s="99"/>
      <c r="AA55" s="99"/>
      <c r="AB55" s="99"/>
    </row>
    <row r="56" spans="1:28" s="74" customFormat="1" ht="41.25" customHeight="1">
      <c r="A56" s="51" t="s">
        <v>478</v>
      </c>
      <c r="B56" s="68" t="s">
        <v>1231</v>
      </c>
      <c r="I56" s="99"/>
      <c r="J56" s="99"/>
      <c r="K56" s="99"/>
      <c r="L56" s="99"/>
      <c r="M56" s="99"/>
      <c r="N56" s="99"/>
      <c r="O56" s="99"/>
      <c r="P56" s="99"/>
      <c r="Q56" s="99"/>
      <c r="R56" s="99"/>
      <c r="S56" s="99"/>
      <c r="T56" s="99"/>
      <c r="U56" s="99"/>
      <c r="V56" s="99"/>
      <c r="W56" s="99"/>
      <c r="X56" s="99"/>
      <c r="Y56" s="99"/>
      <c r="Z56" s="99"/>
      <c r="AA56" s="99"/>
      <c r="AB56" s="99"/>
    </row>
    <row r="57" spans="1:28" s="74" customFormat="1" ht="39" customHeight="1">
      <c r="A57" s="51" t="s">
        <v>479</v>
      </c>
      <c r="B57" s="68" t="s">
        <v>1231</v>
      </c>
      <c r="I57" s="99"/>
      <c r="J57" s="99"/>
      <c r="K57" s="99"/>
      <c r="L57" s="99"/>
      <c r="M57" s="99"/>
      <c r="N57" s="99"/>
      <c r="O57" s="99"/>
      <c r="P57" s="99"/>
      <c r="Q57" s="99"/>
      <c r="R57" s="99"/>
      <c r="S57" s="99"/>
      <c r="T57" s="99"/>
      <c r="U57" s="99"/>
      <c r="V57" s="99"/>
      <c r="W57" s="99"/>
      <c r="X57" s="99"/>
      <c r="Y57" s="99"/>
      <c r="Z57" s="99"/>
      <c r="AA57" s="99"/>
      <c r="AB57" s="99"/>
    </row>
    <row r="58" spans="1:28" s="74" customFormat="1" ht="41.25" customHeight="1">
      <c r="A58" s="51" t="s">
        <v>480</v>
      </c>
      <c r="B58" s="68" t="s">
        <v>1231</v>
      </c>
      <c r="I58" s="99"/>
      <c r="J58" s="99"/>
      <c r="K58" s="99"/>
      <c r="L58" s="99"/>
      <c r="M58" s="99"/>
      <c r="N58" s="99"/>
      <c r="O58" s="99"/>
      <c r="P58" s="99"/>
      <c r="Q58" s="99"/>
      <c r="R58" s="99"/>
      <c r="S58" s="99"/>
      <c r="T58" s="99"/>
      <c r="U58" s="99"/>
      <c r="V58" s="99"/>
      <c r="W58" s="99"/>
      <c r="X58" s="99"/>
      <c r="Y58" s="99"/>
      <c r="Z58" s="99"/>
      <c r="AA58" s="99"/>
      <c r="AB58" s="99"/>
    </row>
    <row r="59" spans="1:28" s="74" customFormat="1" ht="40.5" customHeight="1">
      <c r="A59" s="51" t="s">
        <v>481</v>
      </c>
      <c r="B59" s="68" t="s">
        <v>1231</v>
      </c>
      <c r="I59" s="99"/>
      <c r="J59" s="99"/>
      <c r="K59" s="99"/>
      <c r="L59" s="99"/>
      <c r="M59" s="99"/>
      <c r="N59" s="99"/>
      <c r="O59" s="99"/>
      <c r="P59" s="99"/>
      <c r="Q59" s="99"/>
      <c r="R59" s="99"/>
      <c r="S59" s="99"/>
      <c r="T59" s="99"/>
      <c r="U59" s="99"/>
      <c r="V59" s="99"/>
      <c r="W59" s="99"/>
      <c r="X59" s="99"/>
      <c r="Y59" s="99"/>
      <c r="Z59" s="99"/>
      <c r="AA59" s="99"/>
      <c r="AB59" s="99"/>
    </row>
    <row r="60" spans="1:28" s="74" customFormat="1" ht="40.5" customHeight="1">
      <c r="A60" s="51" t="s">
        <v>482</v>
      </c>
      <c r="B60" s="68" t="s">
        <v>1231</v>
      </c>
      <c r="I60" s="99"/>
      <c r="J60" s="99"/>
      <c r="K60" s="99"/>
      <c r="L60" s="99"/>
      <c r="M60" s="99"/>
      <c r="N60" s="99"/>
      <c r="O60" s="99"/>
      <c r="P60" s="99"/>
      <c r="Q60" s="99"/>
      <c r="R60" s="99"/>
      <c r="S60" s="99"/>
      <c r="T60" s="99"/>
      <c r="U60" s="99"/>
      <c r="V60" s="99"/>
      <c r="W60" s="99"/>
      <c r="X60" s="99"/>
      <c r="Y60" s="99"/>
      <c r="Z60" s="99"/>
      <c r="AA60" s="99"/>
      <c r="AB60" s="99"/>
    </row>
    <row r="61" spans="1:28" s="74" customFormat="1" ht="28.5" customHeight="1">
      <c r="A61" s="51" t="s">
        <v>487</v>
      </c>
      <c r="B61" s="68" t="s">
        <v>1232</v>
      </c>
      <c r="I61" s="99"/>
      <c r="J61" s="99"/>
      <c r="K61" s="99"/>
      <c r="L61" s="99"/>
      <c r="M61" s="99"/>
      <c r="N61" s="99"/>
      <c r="O61" s="99"/>
      <c r="P61" s="99"/>
      <c r="Q61" s="99"/>
      <c r="R61" s="99"/>
      <c r="S61" s="99"/>
      <c r="T61" s="99"/>
      <c r="U61" s="99"/>
      <c r="V61" s="99"/>
      <c r="W61" s="99"/>
      <c r="X61" s="99"/>
      <c r="Y61" s="99"/>
      <c r="Z61" s="99"/>
      <c r="AA61" s="99"/>
      <c r="AB61" s="99"/>
    </row>
    <row r="62" spans="1:28" s="74" customFormat="1" ht="27.75" customHeight="1">
      <c r="A62" s="51" t="s">
        <v>393</v>
      </c>
      <c r="B62" s="68" t="s">
        <v>1232</v>
      </c>
      <c r="I62" s="99"/>
      <c r="J62" s="99"/>
      <c r="K62" s="99"/>
      <c r="L62" s="99"/>
      <c r="M62" s="99"/>
      <c r="N62" s="99"/>
      <c r="O62" s="167"/>
      <c r="P62" s="167"/>
      <c r="Q62" s="167"/>
      <c r="R62" s="167"/>
      <c r="S62" s="167"/>
      <c r="T62" s="167"/>
      <c r="U62" s="167"/>
      <c r="V62" s="167"/>
      <c r="W62" s="99"/>
      <c r="X62" s="99"/>
      <c r="Y62" s="99"/>
      <c r="Z62" s="99"/>
      <c r="AA62" s="99"/>
      <c r="AB62" s="99"/>
    </row>
    <row r="63" spans="1:28" s="164" customFormat="1" ht="28.5" customHeight="1">
      <c r="A63" s="51" t="s">
        <v>484</v>
      </c>
      <c r="B63" s="68" t="s">
        <v>1232</v>
      </c>
      <c r="C63" s="74"/>
      <c r="D63" s="74"/>
      <c r="E63" s="74"/>
      <c r="F63" s="74"/>
      <c r="G63" s="74"/>
      <c r="H63" s="74"/>
      <c r="I63" s="99"/>
      <c r="J63" s="99"/>
      <c r="K63" s="99"/>
      <c r="L63" s="99"/>
      <c r="M63" s="99"/>
      <c r="N63" s="99"/>
      <c r="O63" s="99"/>
      <c r="P63" s="99"/>
      <c r="Q63" s="99"/>
      <c r="R63" s="99"/>
      <c r="S63" s="99"/>
      <c r="T63" s="99"/>
      <c r="U63" s="99"/>
      <c r="V63" s="99"/>
      <c r="W63" s="167"/>
      <c r="X63" s="167"/>
      <c r="Y63" s="167"/>
      <c r="Z63" s="167"/>
      <c r="AA63" s="167"/>
      <c r="AB63" s="167"/>
    </row>
    <row r="64" spans="1:28" s="74" customFormat="1" ht="24.75" customHeight="1">
      <c r="A64" s="51" t="s">
        <v>485</v>
      </c>
      <c r="B64" s="68" t="s">
        <v>1232</v>
      </c>
      <c r="I64" s="99"/>
      <c r="J64" s="99"/>
      <c r="K64" s="99"/>
      <c r="L64" s="99"/>
      <c r="M64" s="99"/>
      <c r="N64" s="99"/>
      <c r="O64" s="99"/>
      <c r="P64" s="99"/>
      <c r="Q64" s="99"/>
      <c r="R64" s="99"/>
      <c r="S64" s="99"/>
      <c r="T64" s="99"/>
      <c r="U64" s="99"/>
      <c r="V64" s="99"/>
      <c r="W64" s="99"/>
      <c r="X64" s="99"/>
      <c r="Y64" s="99"/>
      <c r="Z64" s="99"/>
      <c r="AA64" s="99"/>
      <c r="AB64" s="99"/>
    </row>
    <row r="65" spans="1:28" s="74" customFormat="1" ht="28.5" customHeight="1">
      <c r="A65" s="51" t="s">
        <v>486</v>
      </c>
      <c r="B65" s="68" t="s">
        <v>1232</v>
      </c>
      <c r="I65" s="99"/>
      <c r="J65" s="99"/>
      <c r="K65" s="99"/>
      <c r="L65" s="99"/>
      <c r="M65" s="99"/>
      <c r="N65" s="99"/>
      <c r="O65" s="99"/>
      <c r="P65" s="99"/>
      <c r="Q65" s="99"/>
      <c r="R65" s="99"/>
      <c r="S65" s="99"/>
      <c r="T65" s="99"/>
      <c r="U65" s="99"/>
      <c r="V65" s="99"/>
      <c r="W65" s="99"/>
      <c r="X65" s="99"/>
      <c r="Y65" s="99"/>
      <c r="Z65" s="99"/>
      <c r="AA65" s="99"/>
      <c r="AB65" s="99"/>
    </row>
    <row r="66" spans="1:28" s="74" customFormat="1">
      <c r="A66" s="51" t="s">
        <v>494</v>
      </c>
      <c r="B66" s="68" t="s">
        <v>1076</v>
      </c>
      <c r="I66" s="99"/>
      <c r="J66" s="99"/>
      <c r="K66" s="99"/>
      <c r="L66" s="99"/>
      <c r="M66" s="99"/>
      <c r="N66" s="99"/>
      <c r="O66" s="99"/>
      <c r="P66" s="99"/>
      <c r="Q66" s="99"/>
      <c r="R66" s="99"/>
      <c r="S66" s="99"/>
      <c r="T66" s="99"/>
      <c r="U66" s="99"/>
      <c r="V66" s="99"/>
      <c r="W66" s="99"/>
      <c r="X66" s="99"/>
      <c r="Y66" s="99"/>
      <c r="Z66" s="99"/>
      <c r="AA66" s="99"/>
      <c r="AB66" s="99"/>
    </row>
    <row r="67" spans="1:28" s="74" customFormat="1">
      <c r="A67" s="51" t="s">
        <v>488</v>
      </c>
      <c r="B67" s="68" t="s">
        <v>1076</v>
      </c>
      <c r="I67" s="99"/>
      <c r="J67" s="99"/>
      <c r="K67" s="99"/>
      <c r="L67" s="99"/>
      <c r="M67" s="99"/>
      <c r="N67" s="99"/>
      <c r="O67" s="99"/>
      <c r="P67" s="99"/>
      <c r="Q67" s="99"/>
      <c r="R67" s="99"/>
      <c r="S67" s="99"/>
      <c r="T67" s="99"/>
      <c r="U67" s="99"/>
      <c r="V67" s="99"/>
      <c r="W67" s="99"/>
      <c r="X67" s="99"/>
      <c r="Y67" s="99"/>
      <c r="Z67" s="99"/>
      <c r="AA67" s="99"/>
      <c r="AB67" s="99"/>
    </row>
    <row r="68" spans="1:28" s="74" customFormat="1">
      <c r="A68" s="68" t="s">
        <v>489</v>
      </c>
      <c r="B68" s="68" t="s">
        <v>1076</v>
      </c>
      <c r="I68" s="99"/>
      <c r="J68" s="99"/>
      <c r="K68" s="99"/>
      <c r="L68" s="99"/>
      <c r="M68" s="99"/>
      <c r="N68" s="99"/>
      <c r="O68" s="99"/>
      <c r="P68" s="99"/>
      <c r="Q68" s="99"/>
      <c r="R68" s="99"/>
      <c r="S68" s="99"/>
      <c r="T68" s="99"/>
      <c r="U68" s="99"/>
      <c r="V68" s="99"/>
      <c r="W68" s="99"/>
      <c r="X68" s="99"/>
      <c r="Y68" s="99"/>
      <c r="Z68" s="99"/>
      <c r="AA68" s="99"/>
      <c r="AB68" s="99"/>
    </row>
    <row r="69" spans="1:28" s="74" customFormat="1">
      <c r="A69" s="51" t="s">
        <v>490</v>
      </c>
      <c r="B69" s="68" t="s">
        <v>1076</v>
      </c>
      <c r="I69" s="99"/>
      <c r="J69" s="99"/>
      <c r="K69" s="99"/>
      <c r="L69" s="99"/>
      <c r="M69" s="99"/>
      <c r="N69" s="99"/>
      <c r="O69" s="99"/>
      <c r="P69" s="99"/>
      <c r="Q69" s="99"/>
      <c r="R69" s="99"/>
      <c r="S69" s="99"/>
      <c r="T69" s="99"/>
      <c r="U69" s="99"/>
      <c r="V69" s="99"/>
      <c r="W69" s="99"/>
      <c r="X69" s="99"/>
      <c r="Y69" s="99"/>
      <c r="Z69" s="99"/>
      <c r="AA69" s="99"/>
      <c r="AB69" s="99"/>
    </row>
    <row r="70" spans="1:28" s="74" customFormat="1">
      <c r="A70" s="51" t="s">
        <v>491</v>
      </c>
      <c r="B70" s="68" t="s">
        <v>1076</v>
      </c>
      <c r="I70" s="99"/>
      <c r="J70" s="99"/>
      <c r="K70" s="99"/>
      <c r="L70" s="99"/>
      <c r="M70" s="99"/>
      <c r="N70" s="99"/>
      <c r="O70" s="99"/>
      <c r="P70" s="99"/>
      <c r="Q70" s="99"/>
      <c r="R70" s="99"/>
      <c r="S70" s="99"/>
      <c r="T70" s="99"/>
      <c r="U70" s="99"/>
      <c r="V70" s="99"/>
      <c r="W70" s="99"/>
      <c r="X70" s="99"/>
      <c r="Y70" s="99"/>
      <c r="Z70" s="99"/>
      <c r="AA70" s="99"/>
      <c r="AB70" s="99"/>
    </row>
    <row r="71" spans="1:28" s="74" customFormat="1">
      <c r="A71" s="51" t="s">
        <v>492</v>
      </c>
      <c r="B71" s="68" t="s">
        <v>1076</v>
      </c>
      <c r="I71" s="99"/>
      <c r="J71" s="99"/>
      <c r="K71" s="99"/>
      <c r="L71" s="99"/>
      <c r="M71" s="99"/>
      <c r="N71" s="99"/>
      <c r="O71" s="99"/>
      <c r="P71" s="99"/>
      <c r="Q71" s="99"/>
      <c r="R71" s="99"/>
      <c r="S71" s="99"/>
      <c r="T71" s="99"/>
      <c r="U71" s="99"/>
      <c r="V71" s="99"/>
      <c r="W71" s="99"/>
      <c r="X71" s="99"/>
      <c r="Y71" s="99"/>
      <c r="Z71" s="99"/>
      <c r="AA71" s="99"/>
      <c r="AB71" s="99"/>
    </row>
    <row r="72" spans="1:28" s="74" customFormat="1">
      <c r="A72" s="51" t="s">
        <v>493</v>
      </c>
      <c r="B72" s="68" t="s">
        <v>1076</v>
      </c>
      <c r="I72" s="99"/>
      <c r="J72" s="99"/>
      <c r="K72" s="99"/>
      <c r="L72" s="99"/>
      <c r="M72" s="99"/>
      <c r="N72" s="99"/>
      <c r="O72" s="99"/>
      <c r="P72" s="99"/>
      <c r="Q72" s="99"/>
      <c r="R72" s="99"/>
      <c r="S72" s="99"/>
      <c r="T72" s="99"/>
      <c r="U72" s="99"/>
      <c r="V72" s="99"/>
      <c r="W72" s="99"/>
      <c r="X72" s="99"/>
      <c r="Y72" s="99"/>
      <c r="Z72" s="99"/>
      <c r="AA72" s="99"/>
      <c r="AB72" s="99"/>
    </row>
    <row r="73" spans="1:28" s="74" customFormat="1">
      <c r="A73" s="51" t="s">
        <v>499</v>
      </c>
      <c r="B73" s="68" t="s">
        <v>1075</v>
      </c>
      <c r="I73" s="99"/>
      <c r="J73" s="99"/>
      <c r="K73" s="99"/>
      <c r="L73" s="99"/>
      <c r="M73" s="99"/>
      <c r="N73" s="99"/>
      <c r="O73" s="99"/>
      <c r="P73" s="99"/>
      <c r="Q73" s="99"/>
      <c r="R73" s="99"/>
      <c r="S73" s="99"/>
      <c r="T73" s="99"/>
      <c r="U73" s="99"/>
      <c r="V73" s="99"/>
      <c r="W73" s="99"/>
      <c r="X73" s="99"/>
      <c r="Y73" s="99"/>
      <c r="Z73" s="99"/>
      <c r="AA73" s="99"/>
      <c r="AB73" s="99"/>
    </row>
    <row r="74" spans="1:28" s="74" customFormat="1">
      <c r="A74" s="71" t="s">
        <v>496</v>
      </c>
      <c r="B74" s="68" t="s">
        <v>1075</v>
      </c>
      <c r="I74" s="99"/>
      <c r="J74" s="99"/>
      <c r="K74" s="99"/>
      <c r="L74" s="99"/>
      <c r="M74" s="99"/>
      <c r="N74" s="99"/>
      <c r="O74" s="99"/>
      <c r="P74" s="99"/>
      <c r="Q74" s="99"/>
      <c r="R74" s="99"/>
      <c r="S74" s="99"/>
      <c r="T74" s="99"/>
      <c r="U74" s="99"/>
      <c r="V74" s="99"/>
      <c r="W74" s="99"/>
      <c r="X74" s="99"/>
      <c r="Y74" s="99"/>
      <c r="Z74" s="99"/>
      <c r="AA74" s="99"/>
      <c r="AB74" s="99"/>
    </row>
    <row r="75" spans="1:28" s="74" customFormat="1">
      <c r="A75" s="71" t="s">
        <v>497</v>
      </c>
      <c r="B75" s="68" t="s">
        <v>1075</v>
      </c>
      <c r="I75" s="99"/>
      <c r="J75" s="99"/>
      <c r="K75" s="99"/>
      <c r="L75" s="99"/>
      <c r="M75" s="99"/>
      <c r="N75" s="99"/>
      <c r="O75" s="99"/>
      <c r="P75" s="99"/>
      <c r="Q75" s="99"/>
      <c r="R75" s="99"/>
      <c r="S75" s="99"/>
      <c r="T75" s="99"/>
      <c r="U75" s="99"/>
      <c r="V75" s="99"/>
      <c r="W75" s="99"/>
      <c r="X75" s="99"/>
      <c r="Y75" s="99"/>
      <c r="Z75" s="99"/>
      <c r="AA75" s="99"/>
      <c r="AB75" s="99"/>
    </row>
    <row r="76" spans="1:28" s="74" customFormat="1" ht="38.25">
      <c r="A76" s="67" t="s">
        <v>503</v>
      </c>
      <c r="B76" s="68" t="s">
        <v>1233</v>
      </c>
      <c r="I76" s="99"/>
      <c r="J76" s="99"/>
      <c r="K76" s="99"/>
      <c r="L76" s="99"/>
      <c r="M76" s="99"/>
      <c r="N76" s="99"/>
      <c r="O76" s="99"/>
      <c r="P76" s="99"/>
      <c r="Q76" s="99"/>
      <c r="R76" s="99"/>
      <c r="S76" s="99"/>
      <c r="T76" s="99"/>
      <c r="U76" s="99"/>
      <c r="V76" s="99"/>
      <c r="W76" s="99"/>
      <c r="X76" s="99"/>
      <c r="Y76" s="99"/>
      <c r="Z76" s="99"/>
      <c r="AA76" s="99"/>
      <c r="AB76" s="99"/>
    </row>
    <row r="77" spans="1:28" s="74" customFormat="1" ht="38.25">
      <c r="A77" s="67" t="s">
        <v>500</v>
      </c>
      <c r="B77" s="68" t="s">
        <v>1233</v>
      </c>
      <c r="I77" s="99"/>
      <c r="J77" s="99"/>
      <c r="K77" s="99"/>
      <c r="L77" s="99"/>
      <c r="M77" s="99"/>
      <c r="N77" s="99"/>
      <c r="O77" s="99"/>
      <c r="P77" s="99"/>
      <c r="Q77" s="99"/>
      <c r="R77" s="99"/>
      <c r="S77" s="99"/>
      <c r="T77" s="99"/>
      <c r="U77" s="99"/>
      <c r="V77" s="99"/>
      <c r="W77" s="99"/>
      <c r="X77" s="99"/>
      <c r="Y77" s="99"/>
      <c r="Z77" s="99"/>
      <c r="AA77" s="99"/>
      <c r="AB77" s="99"/>
    </row>
    <row r="78" spans="1:28" s="74" customFormat="1" ht="38.25">
      <c r="A78" s="67" t="s">
        <v>501</v>
      </c>
      <c r="B78" s="68" t="s">
        <v>1233</v>
      </c>
      <c r="I78" s="99"/>
      <c r="J78" s="99"/>
      <c r="K78" s="99"/>
      <c r="L78" s="99"/>
      <c r="M78" s="99"/>
      <c r="N78" s="99"/>
      <c r="O78" s="99"/>
      <c r="P78" s="99"/>
      <c r="Q78" s="99"/>
      <c r="R78" s="99"/>
      <c r="S78" s="99"/>
      <c r="T78" s="99"/>
      <c r="U78" s="99"/>
      <c r="V78" s="99"/>
      <c r="W78" s="99"/>
      <c r="X78" s="99"/>
      <c r="Y78" s="99"/>
      <c r="Z78" s="99"/>
      <c r="AA78" s="99"/>
      <c r="AB78" s="99"/>
    </row>
    <row r="79" spans="1:28" s="74" customFormat="1" ht="38.25">
      <c r="A79" s="68" t="s">
        <v>502</v>
      </c>
      <c r="B79" s="68" t="s">
        <v>1233</v>
      </c>
      <c r="I79" s="99"/>
      <c r="J79" s="99"/>
      <c r="K79" s="99"/>
      <c r="L79" s="99"/>
      <c r="M79" s="99"/>
      <c r="N79" s="99"/>
      <c r="O79" s="99"/>
      <c r="P79" s="99"/>
      <c r="Q79" s="99"/>
      <c r="R79" s="99"/>
      <c r="S79" s="99"/>
      <c r="T79" s="99"/>
      <c r="U79" s="99"/>
      <c r="V79" s="99"/>
      <c r="W79" s="99"/>
      <c r="X79" s="99"/>
      <c r="Y79" s="99"/>
      <c r="Z79" s="99"/>
      <c r="AA79" s="99"/>
      <c r="AB79" s="99"/>
    </row>
    <row r="80" spans="1:28" s="74" customFormat="1">
      <c r="A80" s="446" t="s">
        <v>568</v>
      </c>
      <c r="B80" s="51" t="s">
        <v>1073</v>
      </c>
      <c r="I80" s="99"/>
      <c r="J80" s="99"/>
      <c r="K80" s="99"/>
      <c r="L80" s="99"/>
      <c r="M80" s="99"/>
      <c r="N80" s="99"/>
      <c r="O80" s="99"/>
      <c r="P80" s="99"/>
      <c r="Q80" s="99"/>
      <c r="R80" s="99"/>
      <c r="S80" s="99"/>
      <c r="T80" s="99"/>
      <c r="U80" s="99"/>
      <c r="V80" s="99"/>
      <c r="W80" s="99"/>
      <c r="X80" s="99"/>
      <c r="Y80" s="99"/>
      <c r="Z80" s="99"/>
      <c r="AA80" s="99"/>
      <c r="AB80" s="99"/>
    </row>
    <row r="81" spans="1:28" s="74" customFormat="1">
      <c r="A81" s="447"/>
      <c r="B81" s="51" t="s">
        <v>1118</v>
      </c>
      <c r="I81" s="99"/>
      <c r="J81" s="99"/>
      <c r="K81" s="99"/>
      <c r="L81" s="99"/>
      <c r="M81" s="99"/>
      <c r="N81" s="99"/>
      <c r="O81" s="99"/>
      <c r="P81" s="99"/>
      <c r="Q81" s="99"/>
      <c r="R81" s="99"/>
      <c r="S81" s="99"/>
      <c r="T81" s="99"/>
      <c r="U81" s="99"/>
      <c r="V81" s="99"/>
      <c r="W81" s="99"/>
      <c r="X81" s="99"/>
      <c r="Y81" s="99"/>
      <c r="Z81" s="99"/>
      <c r="AA81" s="99"/>
      <c r="AB81" s="99"/>
    </row>
    <row r="82" spans="1:28" s="74" customFormat="1">
      <c r="A82" s="448"/>
      <c r="B82" s="51" t="s">
        <v>1072</v>
      </c>
      <c r="I82" s="99"/>
      <c r="J82" s="99"/>
      <c r="K82" s="99"/>
      <c r="L82" s="99"/>
      <c r="M82" s="99"/>
      <c r="N82" s="99"/>
      <c r="O82" s="99"/>
      <c r="P82" s="99"/>
      <c r="Q82" s="99"/>
      <c r="R82" s="99"/>
      <c r="S82" s="99"/>
      <c r="T82" s="99"/>
      <c r="U82" s="99"/>
      <c r="V82" s="99"/>
      <c r="W82" s="99"/>
      <c r="X82" s="99"/>
      <c r="Y82" s="99"/>
      <c r="Z82" s="99"/>
      <c r="AA82" s="99"/>
      <c r="AB82" s="99"/>
    </row>
    <row r="83" spans="1:28" s="74" customFormat="1">
      <c r="A83" s="51" t="s">
        <v>569</v>
      </c>
      <c r="B83" s="51" t="s">
        <v>1072</v>
      </c>
      <c r="I83" s="99"/>
      <c r="J83" s="99"/>
      <c r="K83" s="99"/>
      <c r="L83" s="99"/>
      <c r="M83" s="99"/>
      <c r="N83" s="99"/>
      <c r="O83" s="99"/>
      <c r="P83" s="99"/>
      <c r="Q83" s="99"/>
      <c r="R83" s="99"/>
      <c r="S83" s="99"/>
      <c r="T83" s="99"/>
      <c r="U83" s="99"/>
      <c r="V83" s="99"/>
      <c r="W83" s="99"/>
      <c r="X83" s="99"/>
      <c r="Y83" s="99"/>
      <c r="Z83" s="99"/>
      <c r="AA83" s="99"/>
      <c r="AB83" s="99"/>
    </row>
    <row r="84" spans="1:28" s="74" customFormat="1">
      <c r="A84" s="410" t="s">
        <v>592</v>
      </c>
      <c r="B84" s="51" t="s">
        <v>1003</v>
      </c>
      <c r="I84" s="99"/>
      <c r="J84" s="99"/>
      <c r="K84" s="99"/>
      <c r="L84" s="99"/>
      <c r="M84" s="99"/>
      <c r="N84" s="99"/>
      <c r="O84" s="99"/>
      <c r="P84" s="99"/>
      <c r="Q84" s="99"/>
      <c r="R84" s="99"/>
      <c r="S84" s="99"/>
      <c r="T84" s="99"/>
      <c r="U84" s="99"/>
      <c r="V84" s="99"/>
      <c r="W84" s="99"/>
      <c r="X84" s="99"/>
      <c r="Y84" s="99"/>
      <c r="Z84" s="99"/>
      <c r="AA84" s="99"/>
      <c r="AB84" s="99"/>
    </row>
    <row r="85" spans="1:28" s="74" customFormat="1">
      <c r="A85" s="410"/>
      <c r="B85" s="51" t="s">
        <v>1004</v>
      </c>
      <c r="I85" s="99"/>
      <c r="J85" s="99"/>
      <c r="K85" s="99"/>
      <c r="L85" s="99"/>
      <c r="M85" s="99"/>
      <c r="N85" s="99"/>
      <c r="O85" s="99"/>
      <c r="P85" s="99"/>
      <c r="Q85" s="99"/>
      <c r="R85" s="99"/>
      <c r="S85" s="99"/>
      <c r="T85" s="99"/>
      <c r="U85" s="99"/>
      <c r="V85" s="99"/>
      <c r="W85" s="99"/>
      <c r="X85" s="99"/>
      <c r="Y85" s="99"/>
      <c r="Z85" s="99"/>
      <c r="AA85" s="99"/>
      <c r="AB85" s="99"/>
    </row>
    <row r="86" spans="1:28" s="74" customFormat="1">
      <c r="A86" s="410"/>
      <c r="B86" s="51" t="s">
        <v>1145</v>
      </c>
      <c r="I86" s="99"/>
      <c r="J86" s="99"/>
      <c r="K86" s="99"/>
      <c r="L86" s="99"/>
      <c r="M86" s="99"/>
      <c r="N86" s="99"/>
      <c r="O86" s="99"/>
      <c r="P86" s="99"/>
      <c r="Q86" s="99"/>
      <c r="R86" s="99"/>
      <c r="S86" s="99"/>
      <c r="T86" s="99"/>
      <c r="U86" s="99"/>
      <c r="V86" s="99"/>
      <c r="W86" s="99"/>
      <c r="X86" s="99"/>
      <c r="Y86" s="99"/>
      <c r="Z86" s="99"/>
      <c r="AA86" s="99"/>
      <c r="AB86" s="99"/>
    </row>
    <row r="87" spans="1:28" s="74" customFormat="1">
      <c r="A87" s="410" t="s">
        <v>281</v>
      </c>
      <c r="B87" s="51" t="s">
        <v>1003</v>
      </c>
      <c r="I87" s="99"/>
      <c r="J87" s="99"/>
      <c r="K87" s="99"/>
      <c r="L87" s="99"/>
      <c r="M87" s="99"/>
      <c r="N87" s="99"/>
      <c r="O87" s="99"/>
      <c r="P87" s="99"/>
      <c r="Q87" s="99"/>
      <c r="R87" s="99"/>
      <c r="S87" s="99"/>
      <c r="T87" s="99"/>
      <c r="U87" s="99"/>
      <c r="V87" s="99"/>
      <c r="W87" s="99"/>
      <c r="X87" s="99"/>
      <c r="Y87" s="99"/>
      <c r="Z87" s="99"/>
      <c r="AA87" s="99"/>
      <c r="AB87" s="99"/>
    </row>
    <row r="88" spans="1:28" s="74" customFormat="1">
      <c r="A88" s="410"/>
      <c r="B88" s="51" t="s">
        <v>1004</v>
      </c>
      <c r="I88" s="99"/>
      <c r="J88" s="99"/>
      <c r="K88" s="99"/>
      <c r="L88" s="99"/>
      <c r="M88" s="99"/>
      <c r="N88" s="99"/>
      <c r="O88" s="99"/>
      <c r="P88" s="99"/>
      <c r="Q88" s="99"/>
      <c r="R88" s="99"/>
      <c r="S88" s="99"/>
      <c r="T88" s="99"/>
      <c r="U88" s="99"/>
      <c r="V88" s="99"/>
      <c r="W88" s="99"/>
      <c r="X88" s="99"/>
      <c r="Y88" s="99"/>
      <c r="Z88" s="99"/>
      <c r="AA88" s="99"/>
      <c r="AB88" s="99"/>
    </row>
    <row r="89" spans="1:28" s="74" customFormat="1">
      <c r="A89" s="410"/>
      <c r="B89" s="51" t="s">
        <v>1145</v>
      </c>
      <c r="I89" s="99"/>
      <c r="J89" s="99"/>
      <c r="K89" s="99"/>
      <c r="L89" s="99"/>
      <c r="M89" s="99"/>
      <c r="N89" s="99"/>
      <c r="O89" s="99"/>
      <c r="P89" s="99"/>
      <c r="Q89" s="99"/>
      <c r="R89" s="99"/>
      <c r="S89" s="99"/>
      <c r="T89" s="99"/>
      <c r="U89" s="99"/>
      <c r="V89" s="99"/>
      <c r="W89" s="99"/>
      <c r="X89" s="99"/>
      <c r="Y89" s="99"/>
      <c r="Z89" s="99"/>
      <c r="AA89" s="99"/>
      <c r="AB89" s="99"/>
    </row>
    <row r="90" spans="1:28" s="74" customFormat="1">
      <c r="A90" s="410" t="s">
        <v>570</v>
      </c>
      <c r="B90" s="51" t="s">
        <v>1003</v>
      </c>
      <c r="I90" s="99"/>
      <c r="J90" s="99"/>
      <c r="K90" s="99"/>
      <c r="L90" s="99"/>
      <c r="M90" s="99"/>
      <c r="N90" s="99"/>
      <c r="O90" s="99"/>
      <c r="P90" s="99"/>
      <c r="Q90" s="99"/>
      <c r="R90" s="99"/>
      <c r="S90" s="99"/>
      <c r="T90" s="99"/>
      <c r="U90" s="99"/>
      <c r="V90" s="99"/>
      <c r="W90" s="99"/>
      <c r="X90" s="99"/>
      <c r="Y90" s="99"/>
      <c r="Z90" s="99"/>
      <c r="AA90" s="99"/>
      <c r="AB90" s="99"/>
    </row>
    <row r="91" spans="1:28" s="74" customFormat="1">
      <c r="A91" s="410"/>
      <c r="B91" s="51" t="s">
        <v>1004</v>
      </c>
      <c r="I91" s="99"/>
      <c r="J91" s="99"/>
      <c r="K91" s="99"/>
      <c r="L91" s="99"/>
      <c r="M91" s="99"/>
      <c r="N91" s="99"/>
      <c r="O91" s="99"/>
      <c r="P91" s="99"/>
      <c r="Q91" s="99"/>
      <c r="R91" s="99"/>
      <c r="S91" s="99"/>
      <c r="T91" s="99"/>
      <c r="U91" s="99"/>
      <c r="V91" s="99"/>
      <c r="W91" s="99"/>
      <c r="X91" s="99"/>
      <c r="Y91" s="99"/>
      <c r="Z91" s="99"/>
      <c r="AA91" s="99"/>
      <c r="AB91" s="99"/>
    </row>
    <row r="92" spans="1:28" s="74" customFormat="1">
      <c r="A92" s="410"/>
      <c r="B92" s="51" t="s">
        <v>1145</v>
      </c>
      <c r="I92" s="99"/>
      <c r="J92" s="99"/>
      <c r="K92" s="99"/>
      <c r="L92" s="99"/>
      <c r="M92" s="99"/>
      <c r="N92" s="99"/>
      <c r="O92" s="99"/>
      <c r="P92" s="99"/>
      <c r="Q92" s="99"/>
      <c r="R92" s="99"/>
      <c r="S92" s="99"/>
      <c r="T92" s="99"/>
      <c r="U92" s="99"/>
      <c r="V92" s="99"/>
      <c r="W92" s="99"/>
      <c r="X92" s="99"/>
      <c r="Y92" s="99"/>
      <c r="Z92" s="99"/>
      <c r="AA92" s="99"/>
      <c r="AB92" s="99"/>
    </row>
    <row r="93" spans="1:28" s="74" customFormat="1">
      <c r="A93" s="51" t="s">
        <v>571</v>
      </c>
      <c r="B93" s="51" t="s">
        <v>1071</v>
      </c>
      <c r="I93" s="99"/>
      <c r="J93" s="99"/>
      <c r="K93" s="99"/>
      <c r="L93" s="99"/>
      <c r="M93" s="99"/>
      <c r="N93" s="99"/>
      <c r="O93" s="99"/>
      <c r="P93" s="99"/>
      <c r="Q93" s="99"/>
      <c r="R93" s="99"/>
      <c r="S93" s="99"/>
      <c r="T93" s="99"/>
      <c r="U93" s="99"/>
      <c r="V93" s="99"/>
      <c r="W93" s="99"/>
      <c r="X93" s="99"/>
      <c r="Y93" s="99"/>
      <c r="Z93" s="99"/>
      <c r="AA93" s="99"/>
      <c r="AB93" s="99"/>
    </row>
    <row r="94" spans="1:28" s="74" customFormat="1">
      <c r="A94" s="410" t="s">
        <v>587</v>
      </c>
      <c r="B94" s="51" t="s">
        <v>1146</v>
      </c>
      <c r="I94" s="99"/>
      <c r="J94" s="99"/>
      <c r="K94" s="99"/>
      <c r="L94" s="99"/>
      <c r="M94" s="99"/>
      <c r="N94" s="99"/>
      <c r="O94" s="99"/>
      <c r="P94" s="99"/>
      <c r="Q94" s="99"/>
      <c r="R94" s="99"/>
      <c r="S94" s="99"/>
      <c r="T94" s="99"/>
      <c r="U94" s="99"/>
      <c r="V94" s="99"/>
      <c r="W94" s="99"/>
      <c r="X94" s="99"/>
      <c r="Y94" s="99"/>
      <c r="Z94" s="99"/>
      <c r="AA94" s="99"/>
      <c r="AB94" s="99"/>
    </row>
    <row r="95" spans="1:28" s="74" customFormat="1">
      <c r="A95" s="410"/>
      <c r="B95" s="51" t="s">
        <v>1119</v>
      </c>
      <c r="I95" s="99"/>
      <c r="J95" s="99"/>
      <c r="K95" s="99"/>
      <c r="L95" s="99"/>
      <c r="M95" s="99"/>
      <c r="N95" s="99"/>
      <c r="O95" s="99"/>
      <c r="P95" s="99"/>
      <c r="Q95" s="99"/>
      <c r="R95" s="99"/>
      <c r="S95" s="99"/>
      <c r="T95" s="99"/>
      <c r="U95" s="99"/>
      <c r="V95" s="99"/>
      <c r="W95" s="99"/>
      <c r="X95" s="99"/>
      <c r="Y95" s="99"/>
      <c r="Z95" s="99"/>
      <c r="AA95" s="99"/>
      <c r="AB95" s="99"/>
    </row>
    <row r="96" spans="1:28" s="74" customFormat="1">
      <c r="A96" s="410"/>
      <c r="B96" s="51" t="s">
        <v>1120</v>
      </c>
      <c r="I96" s="99"/>
      <c r="J96" s="99"/>
      <c r="K96" s="99"/>
      <c r="L96" s="99"/>
      <c r="M96" s="99"/>
      <c r="N96" s="99"/>
      <c r="O96" s="99"/>
      <c r="P96" s="99"/>
      <c r="Q96" s="99"/>
      <c r="R96" s="99"/>
      <c r="S96" s="99"/>
      <c r="T96" s="99"/>
      <c r="U96" s="99"/>
      <c r="V96" s="99"/>
      <c r="W96" s="99"/>
      <c r="X96" s="99"/>
      <c r="Y96" s="99"/>
      <c r="Z96" s="99"/>
      <c r="AA96" s="99"/>
      <c r="AB96" s="99"/>
    </row>
    <row r="97" spans="1:28" s="74" customFormat="1">
      <c r="A97" s="410" t="s">
        <v>572</v>
      </c>
      <c r="B97" s="51" t="s">
        <v>1146</v>
      </c>
      <c r="I97" s="99"/>
      <c r="J97" s="99"/>
      <c r="K97" s="99"/>
      <c r="L97" s="99"/>
      <c r="M97" s="99"/>
      <c r="N97" s="99"/>
      <c r="O97" s="99"/>
      <c r="P97" s="99"/>
      <c r="Q97" s="99"/>
      <c r="R97" s="99"/>
      <c r="S97" s="99"/>
      <c r="T97" s="99"/>
      <c r="U97" s="99"/>
      <c r="V97" s="99"/>
      <c r="W97" s="99"/>
      <c r="X97" s="99"/>
      <c r="Y97" s="99"/>
      <c r="Z97" s="99"/>
      <c r="AA97" s="99"/>
      <c r="AB97" s="99"/>
    </row>
    <row r="98" spans="1:28" s="74" customFormat="1">
      <c r="A98" s="410"/>
      <c r="B98" s="51" t="s">
        <v>1119</v>
      </c>
      <c r="I98" s="99"/>
      <c r="J98" s="99"/>
      <c r="K98" s="99"/>
      <c r="L98" s="99"/>
      <c r="M98" s="99"/>
      <c r="N98" s="99"/>
      <c r="O98" s="99"/>
      <c r="P98" s="99"/>
      <c r="Q98" s="99"/>
      <c r="R98" s="99"/>
      <c r="S98" s="99"/>
      <c r="T98" s="99"/>
      <c r="U98" s="99"/>
      <c r="V98" s="99"/>
      <c r="W98" s="99"/>
      <c r="X98" s="99"/>
      <c r="Y98" s="99"/>
      <c r="Z98" s="99"/>
      <c r="AA98" s="99"/>
      <c r="AB98" s="99"/>
    </row>
    <row r="99" spans="1:28" s="74" customFormat="1">
      <c r="A99" s="410"/>
      <c r="B99" s="51" t="s">
        <v>1120</v>
      </c>
      <c r="I99" s="99"/>
      <c r="J99" s="99"/>
      <c r="K99" s="99"/>
      <c r="L99" s="99"/>
      <c r="M99" s="99"/>
      <c r="N99" s="99"/>
      <c r="O99" s="99"/>
      <c r="P99" s="99"/>
      <c r="Q99" s="99"/>
      <c r="R99" s="99"/>
      <c r="S99" s="99"/>
      <c r="T99" s="99"/>
      <c r="U99" s="99"/>
      <c r="V99" s="99"/>
      <c r="W99" s="99"/>
      <c r="X99" s="99"/>
      <c r="Y99" s="99"/>
      <c r="Z99" s="99"/>
      <c r="AA99" s="99"/>
      <c r="AB99" s="99"/>
    </row>
    <row r="100" spans="1:28" s="74" customFormat="1">
      <c r="A100" s="410" t="s">
        <v>576</v>
      </c>
      <c r="B100" s="51" t="s">
        <v>1006</v>
      </c>
      <c r="I100" s="99"/>
      <c r="J100" s="99"/>
      <c r="K100" s="99"/>
      <c r="L100" s="99"/>
      <c r="M100" s="99"/>
      <c r="N100" s="99"/>
      <c r="O100" s="99"/>
      <c r="P100" s="99"/>
      <c r="Q100" s="99"/>
      <c r="R100" s="99"/>
      <c r="S100" s="99"/>
      <c r="T100" s="99"/>
      <c r="U100" s="99"/>
      <c r="V100" s="99"/>
      <c r="W100" s="99"/>
      <c r="X100" s="99"/>
      <c r="Y100" s="99"/>
      <c r="Z100" s="99"/>
      <c r="AA100" s="99"/>
      <c r="AB100" s="99"/>
    </row>
    <row r="101" spans="1:28" s="74" customFormat="1">
      <c r="A101" s="410"/>
      <c r="B101" s="51" t="s">
        <v>1121</v>
      </c>
      <c r="I101" s="99"/>
      <c r="J101" s="99"/>
      <c r="K101" s="99"/>
      <c r="L101" s="99"/>
      <c r="M101" s="99"/>
      <c r="N101" s="99"/>
      <c r="O101" s="99"/>
      <c r="P101" s="99"/>
      <c r="Q101" s="99"/>
      <c r="R101" s="99"/>
      <c r="S101" s="99"/>
      <c r="T101" s="99"/>
      <c r="U101" s="99"/>
      <c r="V101" s="99"/>
      <c r="W101" s="99"/>
      <c r="X101" s="99"/>
      <c r="Y101" s="99"/>
      <c r="Z101" s="99"/>
      <c r="AA101" s="99"/>
      <c r="AB101" s="99"/>
    </row>
    <row r="102" spans="1:28" s="74" customFormat="1">
      <c r="A102" s="410"/>
      <c r="B102" s="51" t="s">
        <v>1122</v>
      </c>
      <c r="D102" s="81"/>
      <c r="E102" s="81"/>
      <c r="I102" s="99"/>
      <c r="J102" s="99"/>
      <c r="K102" s="99"/>
      <c r="L102" s="99"/>
      <c r="M102" s="99"/>
      <c r="N102" s="99"/>
      <c r="O102" s="167"/>
      <c r="P102" s="167"/>
      <c r="Q102" s="167"/>
      <c r="R102" s="167"/>
      <c r="S102" s="167"/>
      <c r="T102" s="167"/>
      <c r="U102" s="167"/>
      <c r="V102" s="167"/>
      <c r="W102" s="99"/>
      <c r="X102" s="99"/>
      <c r="Y102" s="99"/>
      <c r="Z102" s="99"/>
      <c r="AA102" s="99"/>
      <c r="AB102" s="99"/>
    </row>
    <row r="103" spans="1:28" s="164" customFormat="1">
      <c r="A103" s="410" t="s">
        <v>573</v>
      </c>
      <c r="B103" s="51" t="s">
        <v>1006</v>
      </c>
      <c r="C103" s="74"/>
      <c r="D103" s="81"/>
      <c r="E103" s="81"/>
      <c r="F103" s="74"/>
      <c r="G103" s="74"/>
      <c r="H103" s="74"/>
      <c r="I103" s="99"/>
      <c r="J103" s="99"/>
      <c r="K103" s="99"/>
      <c r="L103" s="99"/>
      <c r="M103" s="99"/>
      <c r="N103" s="99"/>
      <c r="O103" s="99"/>
      <c r="P103" s="99"/>
      <c r="Q103" s="99"/>
      <c r="R103" s="99"/>
      <c r="S103" s="99"/>
      <c r="T103" s="99"/>
      <c r="U103" s="99"/>
      <c r="V103" s="99"/>
      <c r="W103" s="167"/>
      <c r="X103" s="167"/>
      <c r="Y103" s="167"/>
      <c r="Z103" s="167"/>
      <c r="AA103" s="167"/>
      <c r="AB103" s="167"/>
    </row>
    <row r="104" spans="1:28" s="99" customFormat="1">
      <c r="A104" s="410"/>
      <c r="B104" s="51" t="s">
        <v>1121</v>
      </c>
      <c r="C104" s="74"/>
      <c r="D104" s="81"/>
      <c r="E104" s="81"/>
      <c r="F104" s="74"/>
      <c r="G104" s="74"/>
      <c r="H104" s="74"/>
    </row>
    <row r="105" spans="1:28" s="99" customFormat="1">
      <c r="A105" s="410"/>
      <c r="B105" s="51" t="s">
        <v>1122</v>
      </c>
      <c r="C105" s="74"/>
      <c r="D105" s="81"/>
      <c r="E105" s="81"/>
      <c r="F105" s="74"/>
      <c r="G105" s="74"/>
      <c r="H105" s="74"/>
    </row>
    <row r="106" spans="1:28" s="99" customFormat="1">
      <c r="A106" s="410" t="s">
        <v>574</v>
      </c>
      <c r="B106" s="51" t="s">
        <v>1006</v>
      </c>
      <c r="C106" s="74"/>
      <c r="D106" s="81"/>
      <c r="E106" s="81"/>
      <c r="F106" s="74"/>
      <c r="G106" s="74"/>
      <c r="H106" s="74"/>
    </row>
    <row r="107" spans="1:28" s="99" customFormat="1">
      <c r="A107" s="410"/>
      <c r="B107" s="51" t="s">
        <v>1121</v>
      </c>
      <c r="C107" s="74"/>
      <c r="D107" s="81"/>
      <c r="E107" s="81"/>
      <c r="F107" s="74"/>
      <c r="G107" s="74"/>
      <c r="H107" s="74"/>
    </row>
    <row r="108" spans="1:28" s="99" customFormat="1">
      <c r="A108" s="410"/>
      <c r="B108" s="51" t="s">
        <v>1122</v>
      </c>
      <c r="C108" s="74"/>
      <c r="D108" s="81"/>
      <c r="E108" s="81"/>
      <c r="F108" s="74"/>
      <c r="G108" s="74"/>
      <c r="H108" s="74"/>
    </row>
    <row r="109" spans="1:28" s="99" customFormat="1">
      <c r="A109" s="51" t="s">
        <v>577</v>
      </c>
      <c r="B109" s="51" t="s">
        <v>1070</v>
      </c>
      <c r="C109" s="74"/>
      <c r="D109" s="81"/>
      <c r="E109" s="81"/>
      <c r="F109" s="74"/>
      <c r="G109" s="74"/>
      <c r="H109" s="74"/>
    </row>
    <row r="110" spans="1:28" s="74" customFormat="1">
      <c r="A110" s="51" t="s">
        <v>283</v>
      </c>
      <c r="B110" s="51" t="s">
        <v>1070</v>
      </c>
      <c r="D110" s="81"/>
      <c r="E110" s="81"/>
      <c r="I110" s="99"/>
      <c r="J110" s="99"/>
      <c r="K110" s="99"/>
      <c r="L110" s="99"/>
      <c r="M110" s="99"/>
      <c r="N110" s="99"/>
      <c r="O110" s="100"/>
      <c r="P110" s="100"/>
      <c r="Q110" s="100"/>
      <c r="R110" s="100"/>
      <c r="S110" s="100"/>
      <c r="T110" s="100"/>
      <c r="U110" s="100"/>
      <c r="V110" s="100"/>
      <c r="W110" s="99"/>
      <c r="X110" s="99"/>
      <c r="Y110" s="99"/>
      <c r="Z110" s="99"/>
      <c r="AA110" s="99"/>
      <c r="AB110" s="99"/>
    </row>
    <row r="111" spans="1:28" s="81" customFormat="1">
      <c r="A111" s="51" t="s">
        <v>575</v>
      </c>
      <c r="B111" s="51" t="s">
        <v>1070</v>
      </c>
      <c r="C111" s="74"/>
      <c r="F111" s="74"/>
      <c r="G111" s="74"/>
      <c r="H111" s="74"/>
      <c r="I111" s="99"/>
      <c r="J111" s="99"/>
      <c r="K111" s="99"/>
      <c r="L111" s="99"/>
      <c r="M111" s="99"/>
      <c r="N111" s="99"/>
      <c r="O111" s="100"/>
      <c r="P111" s="100"/>
      <c r="Q111" s="100"/>
      <c r="R111" s="100"/>
      <c r="S111" s="100"/>
      <c r="T111" s="100"/>
      <c r="U111" s="100"/>
      <c r="V111" s="100"/>
      <c r="W111" s="100"/>
      <c r="X111" s="100"/>
      <c r="Y111" s="100"/>
      <c r="Z111" s="100"/>
      <c r="AA111" s="100"/>
      <c r="AB111" s="100"/>
    </row>
    <row r="112" spans="1:28" s="81" customFormat="1">
      <c r="A112" s="362" t="s">
        <v>1236</v>
      </c>
      <c r="B112" s="362">
        <v>47</v>
      </c>
      <c r="C112" s="164"/>
      <c r="D112" s="5"/>
      <c r="E112" s="5"/>
      <c r="F112" s="74"/>
      <c r="G112" s="74"/>
      <c r="H112" s="74"/>
      <c r="I112" s="99"/>
      <c r="J112" s="99"/>
      <c r="K112" s="99"/>
      <c r="L112" s="99"/>
      <c r="M112" s="99"/>
      <c r="N112" s="99"/>
      <c r="O112" s="100"/>
      <c r="P112" s="100"/>
      <c r="Q112" s="100"/>
      <c r="R112" s="100"/>
      <c r="S112" s="100"/>
      <c r="T112" s="100"/>
      <c r="U112" s="100"/>
      <c r="V112" s="100"/>
      <c r="W112" s="100"/>
      <c r="X112" s="100"/>
      <c r="Y112" s="100"/>
      <c r="Z112" s="100"/>
      <c r="AA112" s="100"/>
      <c r="AB112" s="100"/>
    </row>
    <row r="113" spans="1:28" s="81" customFormat="1">
      <c r="A113" s="208" t="s">
        <v>654</v>
      </c>
      <c r="B113" s="208"/>
      <c r="C113" s="99"/>
      <c r="F113" s="74"/>
      <c r="G113" s="74"/>
      <c r="H113" s="74"/>
      <c r="I113" s="99"/>
      <c r="J113" s="99"/>
      <c r="K113" s="99"/>
      <c r="L113" s="99"/>
      <c r="M113" s="99"/>
      <c r="N113" s="99"/>
      <c r="O113" s="100"/>
      <c r="P113" s="100"/>
      <c r="Q113" s="100"/>
      <c r="R113" s="100"/>
      <c r="S113" s="100"/>
      <c r="T113" s="100"/>
      <c r="U113" s="100"/>
      <c r="V113" s="100"/>
      <c r="W113" s="100"/>
      <c r="X113" s="100"/>
      <c r="Y113" s="100"/>
      <c r="Z113" s="100"/>
      <c r="AA113" s="100"/>
      <c r="AB113" s="100"/>
    </row>
    <row r="114" spans="1:28" s="81" customFormat="1">
      <c r="A114" s="51" t="s">
        <v>290</v>
      </c>
      <c r="B114" s="51" t="s">
        <v>1190</v>
      </c>
      <c r="C114" s="99"/>
      <c r="F114" s="74"/>
      <c r="G114" s="74"/>
      <c r="H114" s="74"/>
      <c r="I114" s="99"/>
      <c r="J114" s="99"/>
      <c r="K114" s="99"/>
      <c r="L114" s="99"/>
      <c r="M114" s="99"/>
      <c r="N114" s="99"/>
      <c r="O114" s="100"/>
      <c r="P114" s="100"/>
      <c r="Q114" s="100"/>
      <c r="R114" s="100"/>
      <c r="S114" s="100"/>
      <c r="T114" s="100"/>
      <c r="U114" s="100"/>
      <c r="V114" s="100"/>
      <c r="W114" s="100"/>
      <c r="X114" s="100"/>
      <c r="Y114" s="100"/>
      <c r="Z114" s="100"/>
      <c r="AA114" s="100"/>
      <c r="AB114" s="100"/>
    </row>
    <row r="115" spans="1:28" s="81" customFormat="1">
      <c r="A115" s="51" t="s">
        <v>291</v>
      </c>
      <c r="B115" s="51" t="s">
        <v>1162</v>
      </c>
      <c r="C115" s="99"/>
      <c r="F115" s="74"/>
      <c r="G115" s="74"/>
      <c r="H115" s="74"/>
      <c r="I115" s="99"/>
      <c r="J115" s="99"/>
      <c r="K115" s="99"/>
      <c r="L115" s="99"/>
      <c r="M115" s="99"/>
      <c r="N115" s="99"/>
      <c r="O115" s="100"/>
      <c r="P115" s="100"/>
      <c r="Q115" s="100"/>
      <c r="R115" s="100"/>
      <c r="S115" s="100"/>
      <c r="T115" s="100"/>
      <c r="U115" s="100"/>
      <c r="V115" s="100"/>
      <c r="W115" s="100"/>
      <c r="X115" s="100"/>
      <c r="Y115" s="100"/>
      <c r="Z115" s="100"/>
      <c r="AA115" s="100"/>
      <c r="AB115" s="100"/>
    </row>
    <row r="116" spans="1:28" s="81" customFormat="1">
      <c r="A116" s="51" t="s">
        <v>292</v>
      </c>
      <c r="B116" s="51" t="s">
        <v>1162</v>
      </c>
      <c r="C116" s="99"/>
      <c r="F116" s="74"/>
      <c r="G116" s="74"/>
      <c r="H116" s="74"/>
      <c r="I116" s="99"/>
      <c r="J116" s="99"/>
      <c r="K116" s="99"/>
      <c r="L116" s="99"/>
      <c r="M116" s="99"/>
      <c r="N116" s="99"/>
      <c r="O116" s="99"/>
      <c r="P116" s="99"/>
      <c r="Q116" s="99"/>
      <c r="R116" s="99"/>
      <c r="S116" s="99"/>
      <c r="T116" s="99"/>
      <c r="U116" s="99"/>
      <c r="V116" s="99"/>
      <c r="W116" s="100"/>
      <c r="X116" s="100"/>
      <c r="Y116" s="100"/>
      <c r="Z116" s="100"/>
      <c r="AA116" s="100"/>
      <c r="AB116" s="100"/>
    </row>
    <row r="117" spans="1:28" s="74" customFormat="1">
      <c r="A117" s="51" t="s">
        <v>293</v>
      </c>
      <c r="B117" s="51" t="s">
        <v>1089</v>
      </c>
      <c r="C117" s="99"/>
      <c r="D117" s="81"/>
      <c r="E117" s="81"/>
      <c r="I117" s="99"/>
      <c r="J117" s="99"/>
      <c r="K117" s="99"/>
      <c r="L117" s="99"/>
      <c r="M117" s="99"/>
      <c r="N117" s="99"/>
      <c r="O117" s="99"/>
      <c r="P117" s="99"/>
      <c r="Q117" s="99"/>
      <c r="R117" s="99"/>
      <c r="S117" s="99"/>
      <c r="T117" s="99"/>
      <c r="U117" s="99"/>
      <c r="V117" s="99"/>
      <c r="W117" s="99"/>
      <c r="X117" s="99"/>
      <c r="Y117" s="99"/>
      <c r="Z117" s="99"/>
      <c r="AA117" s="99"/>
      <c r="AB117" s="99"/>
    </row>
    <row r="118" spans="1:28" s="74" customFormat="1">
      <c r="A118" s="51" t="s">
        <v>294</v>
      </c>
      <c r="B118" s="51" t="s">
        <v>1089</v>
      </c>
      <c r="C118" s="99"/>
      <c r="D118" s="81"/>
      <c r="E118" s="81"/>
      <c r="I118" s="99"/>
      <c r="J118" s="99"/>
      <c r="K118" s="99"/>
      <c r="L118" s="99"/>
      <c r="M118" s="99"/>
      <c r="N118" s="99"/>
      <c r="O118" s="99"/>
      <c r="P118" s="99"/>
      <c r="Q118" s="99"/>
      <c r="R118" s="99"/>
      <c r="S118" s="99"/>
      <c r="T118" s="99"/>
      <c r="U118" s="99"/>
      <c r="V118" s="99"/>
      <c r="W118" s="99"/>
      <c r="X118" s="99"/>
      <c r="Y118" s="99"/>
      <c r="Z118" s="99"/>
      <c r="AA118" s="99"/>
      <c r="AB118" s="99"/>
    </row>
    <row r="119" spans="1:28" s="74" customFormat="1">
      <c r="A119" s="51" t="s">
        <v>295</v>
      </c>
      <c r="B119" s="51" t="s">
        <v>1163</v>
      </c>
      <c r="D119" s="81"/>
      <c r="E119" s="81"/>
      <c r="I119" s="99"/>
      <c r="J119" s="99"/>
      <c r="K119" s="99"/>
      <c r="L119" s="99"/>
      <c r="M119" s="99"/>
      <c r="N119" s="99"/>
      <c r="O119" s="99"/>
      <c r="P119" s="99"/>
      <c r="Q119" s="99"/>
      <c r="R119" s="99"/>
      <c r="S119" s="99"/>
      <c r="T119" s="99"/>
      <c r="U119" s="99"/>
      <c r="V119" s="99"/>
      <c r="W119" s="99"/>
      <c r="X119" s="99"/>
      <c r="Y119" s="99"/>
      <c r="Z119" s="99"/>
      <c r="AA119" s="99"/>
      <c r="AB119" s="99"/>
    </row>
    <row r="120" spans="1:28" s="74" customFormat="1">
      <c r="A120" s="51" t="s">
        <v>299</v>
      </c>
      <c r="B120" s="51" t="s">
        <v>1234</v>
      </c>
      <c r="C120" s="81"/>
      <c r="D120" s="81"/>
      <c r="E120" s="81"/>
      <c r="I120" s="99"/>
      <c r="J120" s="99"/>
      <c r="K120" s="99"/>
      <c r="L120" s="99"/>
      <c r="M120" s="99"/>
      <c r="N120" s="99"/>
      <c r="O120" s="99"/>
      <c r="P120" s="99"/>
      <c r="Q120" s="99"/>
      <c r="R120" s="99"/>
      <c r="S120" s="99"/>
      <c r="T120" s="99"/>
      <c r="U120" s="99"/>
      <c r="V120" s="99"/>
      <c r="W120" s="99"/>
      <c r="X120" s="99"/>
      <c r="Y120" s="99"/>
      <c r="Z120" s="99"/>
      <c r="AA120" s="99"/>
      <c r="AB120" s="99"/>
    </row>
    <row r="121" spans="1:28" s="74" customFormat="1">
      <c r="A121" s="51" t="s">
        <v>298</v>
      </c>
      <c r="B121" s="51" t="s">
        <v>1163</v>
      </c>
      <c r="C121" s="81"/>
      <c r="D121" s="81"/>
      <c r="E121" s="81"/>
      <c r="I121" s="99"/>
      <c r="J121" s="99"/>
      <c r="K121" s="99"/>
      <c r="L121" s="99"/>
      <c r="M121" s="99"/>
      <c r="N121" s="99"/>
      <c r="O121" s="99"/>
      <c r="P121" s="99"/>
      <c r="Q121" s="99"/>
      <c r="R121" s="99"/>
      <c r="S121" s="99"/>
      <c r="T121" s="99"/>
      <c r="U121" s="99"/>
      <c r="V121" s="99"/>
      <c r="W121" s="99"/>
      <c r="X121" s="99"/>
      <c r="Y121" s="99"/>
      <c r="Z121" s="99"/>
      <c r="AA121" s="99"/>
      <c r="AB121" s="99"/>
    </row>
    <row r="122" spans="1:28" s="74" customFormat="1">
      <c r="A122" s="410" t="s">
        <v>297</v>
      </c>
      <c r="B122" s="51" t="s">
        <v>1163</v>
      </c>
      <c r="C122" s="81"/>
      <c r="D122" s="81"/>
      <c r="E122" s="81"/>
      <c r="I122" s="99"/>
      <c r="J122" s="99"/>
      <c r="K122" s="99"/>
      <c r="L122" s="99"/>
      <c r="M122" s="99"/>
      <c r="N122" s="99"/>
      <c r="O122" s="99"/>
      <c r="P122" s="99"/>
      <c r="Q122" s="99"/>
      <c r="R122" s="99"/>
      <c r="S122" s="99"/>
      <c r="T122" s="99"/>
      <c r="U122" s="99"/>
      <c r="V122" s="99"/>
      <c r="W122" s="99"/>
      <c r="X122" s="99"/>
      <c r="Y122" s="99"/>
      <c r="Z122" s="99"/>
      <c r="AA122" s="99"/>
      <c r="AB122" s="99"/>
    </row>
    <row r="123" spans="1:28" s="74" customFormat="1">
      <c r="A123" s="410"/>
      <c r="B123" s="51" t="s">
        <v>1234</v>
      </c>
      <c r="C123" s="81"/>
      <c r="D123" s="81"/>
      <c r="E123" s="81"/>
      <c r="I123" s="99"/>
      <c r="J123" s="99"/>
      <c r="K123" s="99"/>
      <c r="L123" s="99"/>
      <c r="M123" s="99"/>
      <c r="N123" s="99"/>
      <c r="O123" s="99"/>
      <c r="P123" s="99"/>
      <c r="Q123" s="99"/>
      <c r="R123" s="99"/>
      <c r="S123" s="99"/>
      <c r="T123" s="99"/>
      <c r="U123" s="99"/>
      <c r="V123" s="99"/>
      <c r="W123" s="99"/>
      <c r="X123" s="99"/>
      <c r="Y123" s="99"/>
      <c r="Z123" s="99"/>
      <c r="AA123" s="99"/>
      <c r="AB123" s="99"/>
    </row>
    <row r="124" spans="1:28" s="74" customFormat="1">
      <c r="A124" s="410" t="s">
        <v>296</v>
      </c>
      <c r="B124" s="51" t="s">
        <v>1234</v>
      </c>
      <c r="C124" s="81"/>
      <c r="D124" s="81"/>
      <c r="E124" s="81"/>
      <c r="I124" s="99"/>
      <c r="J124" s="99"/>
      <c r="K124" s="99"/>
      <c r="L124" s="99"/>
      <c r="M124" s="99"/>
      <c r="N124" s="99"/>
      <c r="O124" s="99"/>
      <c r="P124" s="99"/>
      <c r="Q124" s="99"/>
      <c r="R124" s="99"/>
      <c r="S124" s="99"/>
      <c r="T124" s="99"/>
      <c r="U124" s="99"/>
      <c r="V124" s="99"/>
      <c r="W124" s="99"/>
      <c r="X124" s="99"/>
      <c r="Y124" s="99"/>
      <c r="Z124" s="99"/>
      <c r="AA124" s="99"/>
      <c r="AB124" s="99"/>
    </row>
    <row r="125" spans="1:28" s="74" customFormat="1">
      <c r="A125" s="410"/>
      <c r="B125" s="51" t="s">
        <v>1163</v>
      </c>
      <c r="C125" s="81"/>
      <c r="D125" s="81"/>
      <c r="E125" s="81"/>
      <c r="I125" s="99"/>
      <c r="J125" s="99"/>
      <c r="K125" s="99"/>
      <c r="L125" s="99"/>
      <c r="M125" s="99"/>
      <c r="N125" s="99"/>
      <c r="O125" s="99"/>
      <c r="P125" s="99"/>
      <c r="Q125" s="99"/>
      <c r="R125" s="99"/>
      <c r="S125" s="99"/>
      <c r="T125" s="99"/>
      <c r="U125" s="99"/>
      <c r="V125" s="99"/>
      <c r="W125" s="99"/>
      <c r="X125" s="99"/>
      <c r="Y125" s="99"/>
      <c r="Z125" s="99"/>
      <c r="AA125" s="99"/>
      <c r="AB125" s="99"/>
    </row>
    <row r="126" spans="1:28" s="74" customFormat="1">
      <c r="A126" s="410" t="s">
        <v>301</v>
      </c>
      <c r="B126" s="51" t="s">
        <v>1235</v>
      </c>
      <c r="D126" s="81"/>
      <c r="E126" s="81"/>
      <c r="I126" s="99"/>
      <c r="J126" s="99"/>
      <c r="K126" s="99"/>
      <c r="L126" s="99"/>
      <c r="M126" s="99"/>
      <c r="N126" s="99"/>
      <c r="O126" s="99"/>
      <c r="P126" s="99"/>
      <c r="Q126" s="99"/>
      <c r="R126" s="99"/>
      <c r="S126" s="99"/>
      <c r="T126" s="99"/>
      <c r="U126" s="99"/>
      <c r="V126" s="99"/>
      <c r="W126" s="99"/>
      <c r="X126" s="99"/>
      <c r="Y126" s="99"/>
      <c r="Z126" s="99"/>
      <c r="AA126" s="99"/>
      <c r="AB126" s="99"/>
    </row>
    <row r="127" spans="1:28" s="74" customFormat="1">
      <c r="A127" s="410"/>
      <c r="B127" s="51" t="s">
        <v>1139</v>
      </c>
      <c r="D127" s="81"/>
      <c r="E127" s="81"/>
      <c r="I127" s="99"/>
      <c r="J127" s="99"/>
      <c r="K127" s="99"/>
      <c r="L127" s="99"/>
      <c r="M127" s="99"/>
      <c r="N127" s="99"/>
      <c r="O127" s="99"/>
      <c r="P127" s="99"/>
      <c r="Q127" s="99"/>
      <c r="R127" s="99"/>
      <c r="S127" s="99"/>
      <c r="T127" s="99"/>
      <c r="U127" s="99"/>
      <c r="V127" s="99"/>
      <c r="W127" s="99"/>
      <c r="X127" s="99"/>
      <c r="Y127" s="99"/>
      <c r="Z127" s="99"/>
      <c r="AA127" s="99"/>
      <c r="AB127" s="99"/>
    </row>
    <row r="128" spans="1:28" s="74" customFormat="1">
      <c r="A128" s="410"/>
      <c r="B128" s="51" t="s">
        <v>1140</v>
      </c>
      <c r="D128" s="81"/>
      <c r="E128" s="81"/>
      <c r="G128" s="300"/>
      <c r="I128" s="99"/>
      <c r="J128" s="99"/>
      <c r="K128" s="99"/>
      <c r="L128" s="99"/>
      <c r="M128" s="99"/>
      <c r="N128" s="99"/>
      <c r="O128" s="99"/>
      <c r="P128" s="99"/>
      <c r="Q128" s="99"/>
      <c r="R128" s="99"/>
      <c r="S128" s="99"/>
      <c r="T128" s="99"/>
      <c r="U128" s="99"/>
      <c r="V128" s="99"/>
      <c r="W128" s="99"/>
      <c r="X128" s="99"/>
      <c r="Y128" s="99"/>
      <c r="Z128" s="99"/>
      <c r="AA128" s="99"/>
      <c r="AB128" s="99"/>
    </row>
    <row r="129" spans="1:28" s="74" customFormat="1">
      <c r="A129" s="410"/>
      <c r="B129" s="51" t="s">
        <v>1141</v>
      </c>
      <c r="D129" s="81"/>
      <c r="E129" s="81"/>
      <c r="F129" s="99"/>
      <c r="G129" s="99"/>
      <c r="H129" s="99"/>
      <c r="I129" s="99"/>
      <c r="J129" s="99"/>
      <c r="K129" s="99"/>
      <c r="L129" s="99"/>
      <c r="M129" s="99"/>
      <c r="N129" s="99"/>
      <c r="O129" s="99"/>
      <c r="P129" s="99"/>
      <c r="Q129" s="99"/>
      <c r="R129" s="99"/>
      <c r="S129" s="99"/>
      <c r="T129" s="99"/>
      <c r="U129" s="99"/>
      <c r="V129" s="99"/>
      <c r="W129" s="99"/>
      <c r="X129" s="99"/>
      <c r="Y129" s="99"/>
      <c r="Z129" s="99"/>
      <c r="AA129" s="99"/>
      <c r="AB129" s="99"/>
    </row>
    <row r="130" spans="1:28" s="74" customFormat="1">
      <c r="A130" s="410" t="s">
        <v>302</v>
      </c>
      <c r="B130" s="51" t="s">
        <v>1235</v>
      </c>
      <c r="D130" s="81"/>
      <c r="E130" s="81"/>
      <c r="F130" s="99"/>
      <c r="G130" s="99"/>
      <c r="H130" s="99"/>
      <c r="I130" s="99"/>
      <c r="J130" s="99"/>
      <c r="K130" s="99"/>
      <c r="L130" s="99"/>
      <c r="M130" s="99"/>
      <c r="N130" s="99"/>
      <c r="O130" s="99"/>
      <c r="P130" s="99"/>
      <c r="Q130" s="99"/>
      <c r="R130" s="99"/>
      <c r="S130" s="99"/>
      <c r="T130" s="99"/>
      <c r="U130" s="99"/>
      <c r="V130" s="99"/>
      <c r="W130" s="99"/>
      <c r="X130" s="99"/>
      <c r="Y130" s="99"/>
      <c r="Z130" s="99"/>
      <c r="AA130" s="99"/>
      <c r="AB130" s="99"/>
    </row>
    <row r="131" spans="1:28" s="74" customFormat="1">
      <c r="A131" s="410"/>
      <c r="B131" s="51" t="s">
        <v>1139</v>
      </c>
      <c r="D131" s="81"/>
      <c r="E131" s="81"/>
      <c r="F131" s="99"/>
      <c r="G131" s="99"/>
      <c r="H131" s="99"/>
      <c r="I131" s="99"/>
      <c r="J131" s="99"/>
      <c r="K131" s="99"/>
      <c r="L131" s="99"/>
      <c r="M131" s="99"/>
      <c r="N131" s="99"/>
      <c r="O131" s="99"/>
      <c r="P131" s="99"/>
      <c r="Q131" s="99"/>
      <c r="R131" s="99"/>
      <c r="S131" s="99"/>
      <c r="T131" s="99"/>
      <c r="U131" s="99"/>
      <c r="V131" s="99"/>
      <c r="W131" s="99"/>
      <c r="X131" s="99"/>
      <c r="Y131" s="99"/>
      <c r="Z131" s="99"/>
      <c r="AA131" s="99"/>
      <c r="AB131" s="99"/>
    </row>
    <row r="132" spans="1:28" s="74" customFormat="1">
      <c r="A132" s="410"/>
      <c r="B132" s="51" t="s">
        <v>1140</v>
      </c>
      <c r="D132" s="81"/>
      <c r="E132" s="81"/>
      <c r="F132" s="99"/>
      <c r="G132" s="99"/>
      <c r="H132" s="99"/>
      <c r="I132" s="99"/>
      <c r="J132" s="99"/>
      <c r="K132" s="99"/>
      <c r="L132" s="99"/>
      <c r="M132" s="99"/>
      <c r="N132" s="99"/>
      <c r="O132" s="99"/>
      <c r="P132" s="99"/>
      <c r="Q132" s="99"/>
      <c r="R132" s="99"/>
      <c r="S132" s="99"/>
      <c r="T132" s="99"/>
      <c r="U132" s="99"/>
      <c r="V132" s="99"/>
      <c r="W132" s="99"/>
      <c r="X132" s="99"/>
      <c r="Y132" s="99"/>
      <c r="Z132" s="99"/>
      <c r="AA132" s="99"/>
      <c r="AB132" s="99"/>
    </row>
    <row r="133" spans="1:28" s="74" customFormat="1">
      <c r="A133" s="410"/>
      <c r="B133" s="51" t="s">
        <v>1141</v>
      </c>
      <c r="C133" s="99"/>
      <c r="D133" s="100"/>
      <c r="E133" s="100"/>
      <c r="I133" s="99"/>
      <c r="J133" s="99"/>
      <c r="K133" s="99"/>
      <c r="L133" s="99"/>
      <c r="M133" s="99"/>
      <c r="N133" s="99"/>
      <c r="O133" s="99"/>
      <c r="P133" s="99"/>
      <c r="Q133" s="99"/>
      <c r="R133" s="99"/>
      <c r="S133" s="99"/>
      <c r="T133" s="99"/>
      <c r="U133" s="99"/>
      <c r="V133" s="99"/>
      <c r="W133" s="99"/>
      <c r="X133" s="99"/>
      <c r="Y133" s="99"/>
      <c r="Z133" s="99"/>
      <c r="AA133" s="99"/>
      <c r="AB133" s="99"/>
    </row>
    <row r="134" spans="1:28" s="74" customFormat="1">
      <c r="A134" s="51" t="s">
        <v>307</v>
      </c>
      <c r="B134" s="51" t="s">
        <v>1142</v>
      </c>
      <c r="C134" s="99"/>
      <c r="D134" s="100"/>
      <c r="E134" s="100"/>
      <c r="I134" s="99"/>
      <c r="J134" s="99"/>
      <c r="K134" s="99"/>
      <c r="L134" s="99"/>
      <c r="M134" s="99"/>
      <c r="N134" s="99"/>
      <c r="O134" s="99"/>
      <c r="P134" s="99"/>
      <c r="Q134" s="99"/>
      <c r="R134" s="99"/>
      <c r="S134" s="99"/>
      <c r="T134" s="99"/>
      <c r="U134" s="99"/>
      <c r="V134" s="99"/>
      <c r="W134" s="99"/>
      <c r="X134" s="99"/>
      <c r="Y134" s="99"/>
      <c r="Z134" s="99"/>
      <c r="AA134" s="99"/>
      <c r="AB134" s="99"/>
    </row>
    <row r="135" spans="1:28" s="74" customFormat="1">
      <c r="A135" s="51" t="s">
        <v>309</v>
      </c>
      <c r="B135" s="51" t="s">
        <v>1143</v>
      </c>
      <c r="C135" s="99"/>
      <c r="D135" s="100"/>
      <c r="E135" s="100"/>
      <c r="F135" s="81"/>
      <c r="G135" s="81"/>
      <c r="H135" s="81"/>
      <c r="I135" s="100"/>
      <c r="J135" s="100"/>
      <c r="K135" s="100"/>
      <c r="L135" s="100"/>
      <c r="M135" s="100"/>
      <c r="N135" s="100"/>
      <c r="O135" s="99"/>
      <c r="P135" s="99"/>
      <c r="Q135" s="99"/>
      <c r="R135" s="99"/>
      <c r="S135" s="99"/>
      <c r="T135" s="99"/>
      <c r="U135" s="99"/>
      <c r="V135" s="99"/>
      <c r="W135" s="99"/>
      <c r="X135" s="99"/>
      <c r="Y135" s="99"/>
      <c r="Z135" s="99"/>
      <c r="AA135" s="99"/>
      <c r="AB135" s="99"/>
    </row>
    <row r="136" spans="1:28" s="74" customFormat="1">
      <c r="A136" s="51" t="s">
        <v>310</v>
      </c>
      <c r="B136" s="51" t="s">
        <v>1143</v>
      </c>
      <c r="C136" s="99"/>
      <c r="D136" s="100"/>
      <c r="E136" s="100"/>
      <c r="F136" s="81"/>
      <c r="G136" s="81"/>
      <c r="H136" s="81"/>
      <c r="I136" s="100"/>
      <c r="J136" s="100"/>
      <c r="K136" s="100"/>
      <c r="L136" s="100"/>
      <c r="M136" s="100"/>
      <c r="N136" s="100"/>
      <c r="O136" s="99"/>
      <c r="P136" s="99"/>
      <c r="Q136" s="99"/>
      <c r="R136" s="99"/>
      <c r="S136" s="99"/>
      <c r="T136" s="99"/>
      <c r="U136" s="99"/>
      <c r="V136" s="99"/>
      <c r="W136" s="99"/>
      <c r="X136" s="99"/>
      <c r="Y136" s="99"/>
      <c r="Z136" s="99"/>
      <c r="AA136" s="99"/>
      <c r="AB136" s="99"/>
    </row>
    <row r="137" spans="1:28" s="74" customFormat="1">
      <c r="A137" s="51" t="s">
        <v>311</v>
      </c>
      <c r="B137" s="51" t="s">
        <v>1143</v>
      </c>
      <c r="D137" s="81"/>
      <c r="E137" s="81"/>
      <c r="F137" s="81"/>
      <c r="G137" s="81"/>
      <c r="H137" s="81"/>
      <c r="I137" s="100"/>
      <c r="J137" s="100"/>
      <c r="K137" s="100"/>
      <c r="L137" s="100"/>
      <c r="M137" s="100"/>
      <c r="N137" s="100"/>
      <c r="O137" s="99"/>
      <c r="P137" s="99"/>
      <c r="Q137" s="99"/>
      <c r="R137" s="99"/>
      <c r="S137" s="99"/>
      <c r="T137" s="99"/>
      <c r="U137" s="99"/>
      <c r="V137" s="99"/>
      <c r="W137" s="99"/>
      <c r="X137" s="99"/>
      <c r="Y137" s="99"/>
      <c r="Z137" s="99"/>
      <c r="AA137" s="99"/>
      <c r="AB137" s="99"/>
    </row>
    <row r="138" spans="1:28" s="74" customFormat="1">
      <c r="A138" s="51" t="s">
        <v>312</v>
      </c>
      <c r="B138" s="51" t="s">
        <v>1087</v>
      </c>
      <c r="C138" s="81"/>
      <c r="D138" s="81"/>
      <c r="E138" s="81"/>
      <c r="F138" s="81"/>
      <c r="G138" s="81"/>
      <c r="H138" s="81"/>
      <c r="I138" s="100"/>
      <c r="J138" s="100"/>
      <c r="K138" s="100"/>
      <c r="L138" s="100"/>
      <c r="M138" s="100"/>
      <c r="N138" s="100"/>
      <c r="O138" s="99"/>
      <c r="P138" s="99"/>
      <c r="Q138" s="99"/>
      <c r="R138" s="99"/>
      <c r="S138" s="99"/>
      <c r="T138" s="99"/>
      <c r="U138" s="99"/>
      <c r="V138" s="99"/>
      <c r="W138" s="99"/>
      <c r="X138" s="99"/>
      <c r="Y138" s="99"/>
      <c r="Z138" s="99"/>
      <c r="AA138" s="99"/>
      <c r="AB138" s="99"/>
    </row>
    <row r="139" spans="1:28" s="74" customFormat="1">
      <c r="A139" s="51" t="s">
        <v>593</v>
      </c>
      <c r="B139" s="51" t="s">
        <v>1087</v>
      </c>
      <c r="C139" s="81"/>
      <c r="D139" s="81"/>
      <c r="E139" s="81"/>
      <c r="F139" s="81"/>
      <c r="G139" s="81"/>
      <c r="H139" s="81"/>
      <c r="I139" s="100"/>
      <c r="J139" s="100"/>
      <c r="K139" s="100"/>
      <c r="L139" s="100"/>
      <c r="M139" s="100"/>
      <c r="N139" s="100"/>
      <c r="O139" s="99"/>
      <c r="P139" s="99"/>
      <c r="Q139" s="99"/>
      <c r="R139" s="99"/>
      <c r="S139" s="99"/>
      <c r="T139" s="99"/>
      <c r="U139" s="99"/>
      <c r="V139" s="99"/>
      <c r="W139" s="99"/>
      <c r="X139" s="99"/>
      <c r="Y139" s="99"/>
      <c r="Z139" s="99"/>
      <c r="AA139" s="99"/>
      <c r="AB139" s="99"/>
    </row>
    <row r="140" spans="1:28" s="74" customFormat="1">
      <c r="A140" s="51" t="s">
        <v>314</v>
      </c>
      <c r="B140" s="51" t="s">
        <v>1144</v>
      </c>
      <c r="C140" s="81"/>
      <c r="D140" s="81"/>
      <c r="E140" s="81"/>
      <c r="I140" s="99"/>
      <c r="J140" s="99"/>
      <c r="K140" s="99"/>
      <c r="L140" s="99"/>
      <c r="M140" s="99"/>
      <c r="N140" s="99"/>
      <c r="O140" s="99"/>
      <c r="P140" s="99"/>
      <c r="Q140" s="99"/>
      <c r="R140" s="99"/>
      <c r="S140" s="99"/>
      <c r="T140" s="99"/>
      <c r="U140" s="99"/>
      <c r="V140" s="99"/>
      <c r="W140" s="99"/>
      <c r="X140" s="99"/>
      <c r="Y140" s="99"/>
      <c r="Z140" s="99"/>
      <c r="AA140" s="99"/>
      <c r="AB140" s="99"/>
    </row>
    <row r="141" spans="1:28" s="74" customFormat="1">
      <c r="A141" s="51" t="s">
        <v>561</v>
      </c>
      <c r="B141" s="51" t="s">
        <v>1144</v>
      </c>
      <c r="C141" s="81"/>
      <c r="D141" s="81"/>
      <c r="E141" s="81"/>
      <c r="I141" s="99"/>
      <c r="J141" s="99"/>
      <c r="K141" s="99"/>
      <c r="L141" s="99"/>
      <c r="M141" s="99"/>
      <c r="N141" s="99"/>
      <c r="O141" s="99"/>
      <c r="P141" s="99"/>
      <c r="Q141" s="99"/>
      <c r="R141" s="99"/>
      <c r="S141" s="99"/>
      <c r="T141" s="99"/>
      <c r="U141" s="99"/>
      <c r="V141" s="99"/>
      <c r="W141" s="99"/>
      <c r="X141" s="99"/>
      <c r="Y141" s="99"/>
      <c r="Z141" s="99"/>
      <c r="AA141" s="99"/>
      <c r="AB141" s="99"/>
    </row>
    <row r="142" spans="1:28" s="74" customFormat="1">
      <c r="A142" s="362" t="s">
        <v>1237</v>
      </c>
      <c r="B142" s="332">
        <v>20</v>
      </c>
      <c r="C142" s="81"/>
      <c r="D142" s="81"/>
      <c r="E142" s="81"/>
      <c r="I142" s="99"/>
      <c r="J142" s="99"/>
      <c r="K142" s="99"/>
      <c r="L142" s="99"/>
      <c r="M142" s="99"/>
      <c r="N142" s="99"/>
      <c r="O142" s="99"/>
      <c r="P142" s="99"/>
      <c r="Q142" s="99"/>
      <c r="R142" s="99"/>
      <c r="S142" s="99"/>
      <c r="T142" s="99"/>
      <c r="U142" s="99"/>
      <c r="V142" s="99"/>
      <c r="W142" s="99"/>
      <c r="X142" s="99"/>
      <c r="Y142" s="99"/>
      <c r="Z142" s="99"/>
      <c r="AA142" s="99"/>
      <c r="AB142" s="99"/>
    </row>
    <row r="143" spans="1:28" s="74" customFormat="1">
      <c r="A143" s="208" t="s">
        <v>1043</v>
      </c>
      <c r="B143" s="208"/>
      <c r="C143" s="81"/>
      <c r="D143" s="81"/>
      <c r="E143" s="81"/>
      <c r="I143" s="99"/>
      <c r="J143" s="99"/>
      <c r="K143" s="99"/>
      <c r="L143" s="99"/>
      <c r="M143" s="99"/>
      <c r="N143" s="99"/>
      <c r="O143" s="99"/>
      <c r="P143" s="99"/>
      <c r="Q143" s="99"/>
      <c r="R143" s="99"/>
      <c r="S143" s="99"/>
      <c r="T143" s="99"/>
      <c r="U143" s="99"/>
      <c r="V143" s="99"/>
      <c r="W143" s="99"/>
      <c r="X143" s="99"/>
      <c r="Y143" s="99"/>
      <c r="Z143" s="99"/>
      <c r="AA143" s="99"/>
      <c r="AB143" s="99"/>
    </row>
    <row r="144" spans="1:28" s="74" customFormat="1">
      <c r="A144" s="51" t="s">
        <v>316</v>
      </c>
      <c r="B144" s="51" t="s">
        <v>1238</v>
      </c>
      <c r="D144" s="81"/>
      <c r="E144" s="81"/>
      <c r="I144" s="99"/>
      <c r="J144" s="99"/>
      <c r="K144" s="99"/>
      <c r="L144" s="99"/>
      <c r="M144" s="99"/>
      <c r="N144" s="99"/>
      <c r="O144" s="99"/>
      <c r="P144" s="99"/>
      <c r="Q144" s="99"/>
      <c r="R144" s="99"/>
      <c r="S144" s="99"/>
      <c r="T144" s="99"/>
      <c r="U144" s="99"/>
      <c r="V144" s="99"/>
      <c r="W144" s="99"/>
      <c r="X144" s="99"/>
      <c r="Y144" s="99"/>
      <c r="Z144" s="99"/>
      <c r="AA144" s="99"/>
      <c r="AB144" s="99"/>
    </row>
    <row r="145" spans="1:28" s="74" customFormat="1">
      <c r="A145" s="51" t="s">
        <v>563</v>
      </c>
      <c r="B145" s="51" t="s">
        <v>1135</v>
      </c>
      <c r="D145" s="81"/>
      <c r="E145" s="81"/>
      <c r="I145" s="99"/>
      <c r="J145" s="99"/>
      <c r="K145" s="99"/>
      <c r="L145" s="99"/>
      <c r="M145" s="99"/>
      <c r="N145" s="99"/>
      <c r="O145" s="99"/>
      <c r="P145" s="99"/>
      <c r="Q145" s="99"/>
      <c r="R145" s="99"/>
      <c r="S145" s="99"/>
      <c r="T145" s="99"/>
      <c r="U145" s="99"/>
      <c r="V145" s="99"/>
      <c r="W145" s="99"/>
      <c r="X145" s="99"/>
      <c r="Y145" s="99"/>
      <c r="Z145" s="99"/>
      <c r="AA145" s="99"/>
      <c r="AB145" s="99"/>
    </row>
    <row r="146" spans="1:28" s="74" customFormat="1">
      <c r="A146" s="51" t="s">
        <v>564</v>
      </c>
      <c r="B146" s="51" t="s">
        <v>1135</v>
      </c>
      <c r="D146" s="81"/>
      <c r="E146" s="81"/>
      <c r="I146" s="99"/>
      <c r="J146" s="99"/>
      <c r="K146" s="99"/>
      <c r="L146" s="99"/>
      <c r="M146" s="99"/>
      <c r="N146" s="99"/>
      <c r="O146" s="99"/>
      <c r="P146" s="99"/>
      <c r="Q146" s="99"/>
      <c r="R146" s="99"/>
      <c r="S146" s="99"/>
      <c r="T146" s="99"/>
      <c r="U146" s="99"/>
      <c r="V146" s="99"/>
      <c r="W146" s="99"/>
      <c r="X146" s="99"/>
      <c r="Y146" s="99"/>
      <c r="Z146" s="99"/>
      <c r="AA146" s="99"/>
      <c r="AB146" s="99"/>
    </row>
    <row r="147" spans="1:28" s="74" customFormat="1">
      <c r="A147" s="410" t="s">
        <v>286</v>
      </c>
      <c r="B147" s="51" t="s">
        <v>1239</v>
      </c>
      <c r="D147" s="81"/>
      <c r="E147" s="81"/>
      <c r="I147" s="99"/>
      <c r="J147" s="99"/>
      <c r="K147" s="99"/>
      <c r="L147" s="99"/>
      <c r="M147" s="99"/>
      <c r="N147" s="99"/>
      <c r="O147" s="99"/>
      <c r="P147" s="99"/>
      <c r="Q147" s="99"/>
      <c r="R147" s="99"/>
      <c r="S147" s="99"/>
      <c r="T147" s="99"/>
      <c r="U147" s="99"/>
      <c r="V147" s="99"/>
      <c r="W147" s="99"/>
      <c r="X147" s="99"/>
      <c r="Y147" s="99"/>
      <c r="Z147" s="99"/>
      <c r="AA147" s="99"/>
      <c r="AB147" s="99"/>
    </row>
    <row r="148" spans="1:28" s="74" customFormat="1">
      <c r="A148" s="410"/>
      <c r="B148" s="51" t="s">
        <v>1136</v>
      </c>
      <c r="D148" s="81"/>
      <c r="E148" s="81"/>
      <c r="I148" s="99"/>
      <c r="J148" s="99"/>
      <c r="K148" s="99"/>
      <c r="L148" s="99"/>
      <c r="M148" s="99"/>
      <c r="N148" s="99"/>
      <c r="O148" s="99"/>
      <c r="P148" s="99"/>
      <c r="Q148" s="99"/>
      <c r="R148" s="99"/>
      <c r="S148" s="99"/>
      <c r="T148" s="99"/>
      <c r="U148" s="99"/>
      <c r="V148" s="99"/>
      <c r="W148" s="99"/>
      <c r="X148" s="99"/>
      <c r="Y148" s="99"/>
      <c r="Z148" s="99"/>
      <c r="AA148" s="99"/>
      <c r="AB148" s="99"/>
    </row>
    <row r="149" spans="1:28" s="74" customFormat="1">
      <c r="A149" s="61" t="s">
        <v>135</v>
      </c>
      <c r="B149" s="51" t="s">
        <v>982</v>
      </c>
      <c r="D149" s="81"/>
      <c r="E149" s="81"/>
      <c r="I149" s="99"/>
      <c r="J149" s="99"/>
      <c r="K149" s="99"/>
      <c r="L149" s="99"/>
      <c r="M149" s="99"/>
      <c r="N149" s="99"/>
      <c r="O149" s="99"/>
      <c r="P149" s="99"/>
      <c r="Q149" s="99"/>
      <c r="R149" s="99"/>
      <c r="S149" s="99"/>
      <c r="T149" s="99"/>
      <c r="U149" s="99"/>
      <c r="V149" s="99"/>
      <c r="W149" s="99"/>
      <c r="X149" s="99"/>
      <c r="Y149" s="99"/>
      <c r="Z149" s="99"/>
      <c r="AA149" s="99"/>
      <c r="AB149" s="99"/>
    </row>
    <row r="150" spans="1:28" s="74" customFormat="1">
      <c r="A150" s="61" t="s">
        <v>565</v>
      </c>
      <c r="B150" s="51" t="s">
        <v>982</v>
      </c>
      <c r="D150" s="81"/>
      <c r="E150" s="81"/>
      <c r="I150" s="99"/>
      <c r="J150" s="99"/>
      <c r="K150" s="99"/>
      <c r="L150" s="99"/>
      <c r="M150" s="99"/>
      <c r="N150" s="99"/>
      <c r="O150" s="99"/>
      <c r="P150" s="99"/>
      <c r="Q150" s="99"/>
      <c r="R150" s="99"/>
      <c r="S150" s="99"/>
      <c r="T150" s="99"/>
      <c r="U150" s="99"/>
      <c r="V150" s="99"/>
      <c r="W150" s="99"/>
      <c r="X150" s="99"/>
      <c r="Y150" s="99"/>
      <c r="Z150" s="99"/>
      <c r="AA150" s="99"/>
      <c r="AB150" s="99"/>
    </row>
    <row r="151" spans="1:28" s="74" customFormat="1">
      <c r="A151" s="51" t="s">
        <v>566</v>
      </c>
      <c r="B151" s="51" t="s">
        <v>982</v>
      </c>
      <c r="D151" s="81"/>
      <c r="E151" s="81"/>
      <c r="I151" s="99"/>
      <c r="J151" s="99"/>
      <c r="K151" s="99"/>
      <c r="L151" s="99"/>
      <c r="M151" s="99"/>
      <c r="N151" s="99"/>
      <c r="O151" s="99"/>
      <c r="P151" s="99"/>
      <c r="Q151" s="99"/>
      <c r="R151" s="99"/>
      <c r="S151" s="99"/>
      <c r="T151" s="99"/>
      <c r="U151" s="99"/>
      <c r="V151" s="99"/>
      <c r="W151" s="99"/>
      <c r="X151" s="99"/>
      <c r="Y151" s="99"/>
      <c r="Z151" s="99"/>
      <c r="AA151" s="99"/>
      <c r="AB151" s="99"/>
    </row>
    <row r="152" spans="1:28" s="74" customFormat="1">
      <c r="A152" s="410" t="s">
        <v>321</v>
      </c>
      <c r="B152" s="51" t="s">
        <v>1191</v>
      </c>
      <c r="D152" s="81"/>
      <c r="E152" s="81"/>
      <c r="I152" s="99"/>
      <c r="J152" s="99"/>
      <c r="K152" s="99"/>
      <c r="L152" s="99"/>
      <c r="M152" s="99"/>
      <c r="N152" s="99"/>
      <c r="O152" s="99"/>
      <c r="P152" s="99"/>
      <c r="Q152" s="99"/>
      <c r="R152" s="99"/>
      <c r="S152" s="99"/>
      <c r="T152" s="99"/>
      <c r="U152" s="99"/>
      <c r="V152" s="99"/>
      <c r="W152" s="99"/>
      <c r="X152" s="99"/>
      <c r="Y152" s="99"/>
      <c r="Z152" s="99"/>
      <c r="AA152" s="99"/>
      <c r="AB152" s="99"/>
    </row>
    <row r="153" spans="1:28" s="74" customFormat="1">
      <c r="A153" s="410"/>
      <c r="B153" s="51" t="s">
        <v>1126</v>
      </c>
      <c r="D153" s="81"/>
      <c r="E153" s="81"/>
      <c r="I153" s="99"/>
      <c r="J153" s="99"/>
      <c r="K153" s="99"/>
      <c r="L153" s="99"/>
      <c r="M153" s="99"/>
      <c r="N153" s="99"/>
      <c r="O153" s="99"/>
      <c r="P153" s="99"/>
      <c r="Q153" s="99"/>
      <c r="R153" s="99"/>
      <c r="S153" s="99"/>
      <c r="T153" s="99"/>
      <c r="U153" s="99"/>
      <c r="V153" s="99"/>
      <c r="W153" s="99"/>
      <c r="X153" s="99"/>
      <c r="Y153" s="99"/>
      <c r="Z153" s="99"/>
      <c r="AA153" s="99"/>
      <c r="AB153" s="99"/>
    </row>
    <row r="154" spans="1:28" s="74" customFormat="1">
      <c r="A154" s="410" t="s">
        <v>564</v>
      </c>
      <c r="B154" s="51" t="s">
        <v>1127</v>
      </c>
      <c r="D154" s="81"/>
      <c r="E154" s="81"/>
      <c r="I154" s="99"/>
      <c r="J154" s="99"/>
      <c r="K154" s="99"/>
      <c r="L154" s="99"/>
      <c r="M154" s="99"/>
      <c r="N154" s="99"/>
      <c r="O154" s="99"/>
      <c r="P154" s="99"/>
      <c r="Q154" s="99"/>
      <c r="R154" s="99"/>
      <c r="S154" s="99"/>
      <c r="T154" s="99"/>
      <c r="U154" s="99"/>
      <c r="V154" s="99"/>
      <c r="W154" s="99"/>
      <c r="X154" s="99"/>
      <c r="Y154" s="99"/>
      <c r="Z154" s="99"/>
      <c r="AA154" s="99"/>
      <c r="AB154" s="99"/>
    </row>
    <row r="155" spans="1:28" s="74" customFormat="1">
      <c r="A155" s="410"/>
      <c r="B155" s="51" t="s">
        <v>1133</v>
      </c>
      <c r="D155" s="81"/>
      <c r="E155" s="81"/>
      <c r="I155" s="99"/>
      <c r="J155" s="99"/>
      <c r="K155" s="99"/>
      <c r="L155" s="99"/>
      <c r="M155" s="99"/>
      <c r="N155" s="99"/>
      <c r="O155" s="99"/>
      <c r="P155" s="99"/>
      <c r="Q155" s="99"/>
      <c r="R155" s="99"/>
      <c r="S155" s="99"/>
      <c r="T155" s="99"/>
      <c r="U155" s="99"/>
      <c r="V155" s="99"/>
      <c r="W155" s="99"/>
      <c r="X155" s="99"/>
      <c r="Y155" s="99"/>
      <c r="Z155" s="99"/>
      <c r="AA155" s="99"/>
      <c r="AB155" s="99"/>
    </row>
    <row r="156" spans="1:28" s="74" customFormat="1">
      <c r="A156" s="410" t="s">
        <v>324</v>
      </c>
      <c r="B156" s="51" t="s">
        <v>1127</v>
      </c>
      <c r="D156" s="81"/>
      <c r="E156" s="81"/>
      <c r="I156" s="99"/>
      <c r="J156" s="99"/>
      <c r="K156" s="99"/>
      <c r="L156" s="99"/>
      <c r="M156" s="99"/>
      <c r="N156" s="99"/>
      <c r="O156" s="99"/>
      <c r="P156" s="99"/>
      <c r="Q156" s="99"/>
      <c r="R156" s="99"/>
      <c r="S156" s="99"/>
      <c r="T156" s="99"/>
      <c r="U156" s="99"/>
      <c r="V156" s="99"/>
      <c r="W156" s="99"/>
      <c r="X156" s="99"/>
      <c r="Y156" s="99"/>
      <c r="Z156" s="99"/>
      <c r="AA156" s="99"/>
      <c r="AB156" s="99"/>
    </row>
    <row r="157" spans="1:28" s="74" customFormat="1">
      <c r="A157" s="410"/>
      <c r="B157" s="51" t="s">
        <v>1134</v>
      </c>
      <c r="D157" s="81"/>
      <c r="E157" s="81"/>
      <c r="I157" s="99"/>
      <c r="J157" s="99"/>
      <c r="K157" s="99"/>
      <c r="L157" s="99"/>
      <c r="M157" s="99"/>
      <c r="N157" s="99"/>
      <c r="O157" s="99"/>
      <c r="P157" s="99"/>
      <c r="Q157" s="99"/>
      <c r="R157" s="99"/>
      <c r="S157" s="99"/>
      <c r="T157" s="99"/>
      <c r="U157" s="99"/>
      <c r="V157" s="99"/>
      <c r="W157" s="99"/>
      <c r="X157" s="99"/>
      <c r="Y157" s="99"/>
      <c r="Z157" s="99"/>
      <c r="AA157" s="99"/>
      <c r="AB157" s="99"/>
    </row>
    <row r="158" spans="1:28" s="74" customFormat="1">
      <c r="A158" s="51" t="s">
        <v>325</v>
      </c>
      <c r="B158" s="51" t="s">
        <v>1240</v>
      </c>
      <c r="D158" s="81"/>
      <c r="E158" s="81"/>
      <c r="I158" s="99"/>
      <c r="J158" s="99"/>
      <c r="K158" s="99"/>
      <c r="L158" s="99"/>
      <c r="M158" s="99"/>
      <c r="N158" s="99"/>
      <c r="O158" s="99"/>
      <c r="P158" s="99"/>
      <c r="Q158" s="99"/>
      <c r="R158" s="99"/>
      <c r="S158" s="99"/>
      <c r="T158" s="99"/>
      <c r="U158" s="99"/>
      <c r="V158" s="99"/>
      <c r="W158" s="99"/>
      <c r="X158" s="99"/>
      <c r="Y158" s="99"/>
      <c r="Z158" s="99"/>
      <c r="AA158" s="99"/>
      <c r="AB158" s="99"/>
    </row>
    <row r="159" spans="1:28" s="74" customFormat="1">
      <c r="A159" s="51" t="s">
        <v>326</v>
      </c>
      <c r="B159" s="51" t="s">
        <v>1128</v>
      </c>
      <c r="D159" s="81"/>
      <c r="E159" s="81"/>
      <c r="I159" s="99"/>
      <c r="J159" s="99"/>
      <c r="K159" s="99"/>
      <c r="L159" s="99"/>
      <c r="M159" s="99"/>
      <c r="N159" s="99"/>
      <c r="O159" s="99"/>
      <c r="P159" s="99"/>
      <c r="Q159" s="99"/>
      <c r="R159" s="99"/>
      <c r="S159" s="99"/>
      <c r="T159" s="99"/>
      <c r="U159" s="99"/>
      <c r="V159" s="99"/>
      <c r="W159" s="99"/>
      <c r="X159" s="99"/>
      <c r="Y159" s="99"/>
      <c r="Z159" s="99"/>
      <c r="AA159" s="99"/>
      <c r="AB159" s="99"/>
    </row>
    <row r="160" spans="1:28" s="74" customFormat="1">
      <c r="A160" s="362" t="s">
        <v>1237</v>
      </c>
      <c r="B160" s="332">
        <v>12</v>
      </c>
      <c r="D160" s="301"/>
      <c r="E160" s="81"/>
      <c r="I160" s="99"/>
      <c r="J160" s="99"/>
      <c r="K160" s="99"/>
      <c r="L160" s="99"/>
      <c r="M160" s="99"/>
      <c r="N160" s="99"/>
      <c r="O160" s="99"/>
      <c r="P160" s="99"/>
      <c r="Q160" s="99"/>
      <c r="R160" s="99"/>
      <c r="S160" s="99"/>
      <c r="T160" s="99"/>
      <c r="U160" s="99"/>
      <c r="V160" s="99"/>
      <c r="W160" s="99"/>
      <c r="X160" s="99"/>
      <c r="Y160" s="99"/>
      <c r="Z160" s="99"/>
      <c r="AA160" s="99"/>
      <c r="AB160" s="99"/>
    </row>
    <row r="161" spans="1:28" s="74" customFormat="1">
      <c r="A161" s="208" t="s">
        <v>652</v>
      </c>
      <c r="B161" s="208"/>
      <c r="D161" s="81"/>
      <c r="E161" s="81"/>
      <c r="I161" s="99"/>
      <c r="J161" s="99"/>
      <c r="K161" s="99"/>
      <c r="L161" s="99"/>
      <c r="M161" s="99"/>
      <c r="N161" s="99"/>
      <c r="O161" s="99"/>
      <c r="P161" s="99"/>
      <c r="Q161" s="99"/>
      <c r="R161" s="99"/>
      <c r="S161" s="99"/>
      <c r="T161" s="99"/>
      <c r="U161" s="99"/>
      <c r="V161" s="99"/>
      <c r="W161" s="99"/>
      <c r="X161" s="99"/>
      <c r="Y161" s="99"/>
      <c r="Z161" s="99"/>
      <c r="AA161" s="99"/>
      <c r="AB161" s="99"/>
    </row>
    <row r="162" spans="1:28" s="74" customFormat="1">
      <c r="A162" s="410" t="s">
        <v>407</v>
      </c>
      <c r="B162" s="220" t="s">
        <v>1091</v>
      </c>
      <c r="C162" s="278"/>
      <c r="D162" s="81"/>
      <c r="E162" s="81"/>
      <c r="I162" s="99"/>
      <c r="J162" s="99"/>
      <c r="K162" s="99"/>
      <c r="L162" s="99"/>
      <c r="M162" s="99"/>
      <c r="N162" s="99"/>
      <c r="O162" s="99"/>
      <c r="P162" s="99"/>
      <c r="Q162" s="99"/>
      <c r="R162" s="99"/>
      <c r="S162" s="99"/>
      <c r="T162" s="99"/>
      <c r="U162" s="99"/>
      <c r="V162" s="99"/>
      <c r="W162" s="99"/>
      <c r="X162" s="99"/>
      <c r="Y162" s="99"/>
      <c r="Z162" s="99"/>
      <c r="AA162" s="99"/>
      <c r="AB162" s="99"/>
    </row>
    <row r="163" spans="1:28" s="74" customFormat="1">
      <c r="A163" s="410"/>
      <c r="B163" s="220" t="s">
        <v>1241</v>
      </c>
      <c r="D163" s="81"/>
      <c r="E163" s="81"/>
      <c r="I163" s="99"/>
      <c r="J163" s="99"/>
      <c r="K163" s="99"/>
      <c r="L163" s="99"/>
      <c r="M163" s="99"/>
      <c r="N163" s="99"/>
      <c r="O163" s="99"/>
      <c r="P163" s="99"/>
      <c r="Q163" s="99"/>
      <c r="R163" s="99"/>
      <c r="S163" s="99"/>
      <c r="T163" s="99"/>
      <c r="U163" s="99"/>
      <c r="V163" s="99"/>
      <c r="W163" s="99"/>
      <c r="X163" s="99"/>
      <c r="Y163" s="99"/>
      <c r="Z163" s="99"/>
      <c r="AA163" s="99"/>
      <c r="AB163" s="99"/>
    </row>
    <row r="164" spans="1:28" s="74" customFormat="1">
      <c r="A164" s="51" t="s">
        <v>405</v>
      </c>
      <c r="B164" s="220" t="s">
        <v>1203</v>
      </c>
      <c r="D164" s="81"/>
      <c r="E164" s="81"/>
      <c r="I164" s="99"/>
      <c r="J164" s="99"/>
      <c r="K164" s="99"/>
      <c r="L164" s="99"/>
      <c r="M164" s="99"/>
      <c r="N164" s="99"/>
      <c r="O164" s="99"/>
      <c r="P164" s="99"/>
      <c r="Q164" s="99"/>
      <c r="R164" s="99"/>
      <c r="S164" s="99"/>
      <c r="T164" s="99"/>
      <c r="U164" s="99"/>
      <c r="V164" s="99"/>
      <c r="W164" s="99"/>
      <c r="X164" s="99"/>
      <c r="Y164" s="99"/>
      <c r="Z164" s="99"/>
      <c r="AA164" s="99"/>
      <c r="AB164" s="99"/>
    </row>
    <row r="165" spans="1:28" s="74" customFormat="1">
      <c r="A165" s="51" t="s">
        <v>454</v>
      </c>
      <c r="B165" s="220" t="s">
        <v>1202</v>
      </c>
      <c r="D165" s="81"/>
      <c r="E165" s="81"/>
      <c r="I165" s="99"/>
      <c r="J165" s="99"/>
      <c r="K165" s="99"/>
      <c r="L165" s="99"/>
      <c r="M165" s="99"/>
      <c r="N165" s="99"/>
      <c r="O165" s="99"/>
      <c r="P165" s="99"/>
      <c r="Q165" s="99"/>
      <c r="R165" s="99"/>
      <c r="S165" s="99"/>
      <c r="T165" s="99"/>
      <c r="U165" s="99"/>
      <c r="V165" s="99"/>
      <c r="W165" s="99"/>
      <c r="X165" s="99"/>
      <c r="Y165" s="99"/>
      <c r="Z165" s="99"/>
      <c r="AA165" s="99"/>
      <c r="AB165" s="99"/>
    </row>
    <row r="166" spans="1:28" s="74" customFormat="1">
      <c r="A166" s="51" t="s">
        <v>449</v>
      </c>
      <c r="B166" s="220" t="s">
        <v>1201</v>
      </c>
      <c r="D166" s="81"/>
      <c r="E166" s="81"/>
      <c r="I166" s="99"/>
      <c r="J166" s="99"/>
      <c r="K166" s="99"/>
      <c r="L166" s="99"/>
      <c r="M166" s="99"/>
      <c r="N166" s="99"/>
      <c r="O166" s="99"/>
      <c r="P166" s="99"/>
      <c r="Q166" s="99"/>
      <c r="R166" s="99"/>
      <c r="S166" s="99"/>
      <c r="T166" s="99"/>
      <c r="U166" s="99"/>
      <c r="V166" s="99"/>
      <c r="W166" s="99"/>
      <c r="X166" s="99"/>
      <c r="Y166" s="99"/>
      <c r="Z166" s="99"/>
      <c r="AA166" s="99"/>
      <c r="AB166" s="99"/>
    </row>
    <row r="167" spans="1:28" s="74" customFormat="1">
      <c r="A167" s="410" t="s">
        <v>409</v>
      </c>
      <c r="B167" s="220" t="s">
        <v>1091</v>
      </c>
      <c r="D167" s="81"/>
      <c r="E167" s="81"/>
      <c r="I167" s="99"/>
      <c r="J167" s="99"/>
      <c r="K167" s="99"/>
      <c r="L167" s="99"/>
      <c r="M167" s="99"/>
      <c r="N167" s="99"/>
      <c r="O167" s="99"/>
      <c r="P167" s="99"/>
      <c r="Q167" s="99"/>
      <c r="R167" s="99"/>
      <c r="S167" s="99"/>
      <c r="T167" s="99"/>
      <c r="U167" s="99"/>
      <c r="V167" s="99"/>
      <c r="W167" s="99"/>
      <c r="X167" s="99"/>
      <c r="Y167" s="99"/>
      <c r="Z167" s="99"/>
      <c r="AA167" s="99"/>
      <c r="AB167" s="99"/>
    </row>
    <row r="168" spans="1:28" s="74" customFormat="1">
      <c r="A168" s="410"/>
      <c r="B168" s="220" t="s">
        <v>1242</v>
      </c>
      <c r="D168" s="81"/>
      <c r="E168" s="81"/>
      <c r="I168" s="99"/>
      <c r="J168" s="99"/>
      <c r="K168" s="99"/>
      <c r="L168" s="99"/>
      <c r="M168" s="99"/>
      <c r="N168" s="99"/>
      <c r="O168" s="99"/>
      <c r="P168" s="99"/>
      <c r="Q168" s="99"/>
      <c r="R168" s="99"/>
      <c r="S168" s="99"/>
      <c r="T168" s="99"/>
      <c r="U168" s="99"/>
      <c r="V168" s="99"/>
      <c r="W168" s="99"/>
      <c r="X168" s="99"/>
      <c r="Y168" s="99"/>
      <c r="Z168" s="99"/>
      <c r="AA168" s="99"/>
      <c r="AB168" s="99"/>
    </row>
    <row r="169" spans="1:28" s="74" customFormat="1">
      <c r="A169" s="51" t="s">
        <v>422</v>
      </c>
      <c r="B169" s="220" t="s">
        <v>1243</v>
      </c>
      <c r="D169" s="81"/>
      <c r="E169" s="81"/>
      <c r="I169" s="99"/>
      <c r="J169" s="99"/>
      <c r="K169" s="99"/>
      <c r="L169" s="99"/>
      <c r="M169" s="99"/>
      <c r="N169" s="99"/>
      <c r="O169" s="99"/>
      <c r="P169" s="99"/>
      <c r="Q169" s="99"/>
      <c r="R169" s="99"/>
      <c r="S169" s="99"/>
      <c r="T169" s="99"/>
      <c r="U169" s="99"/>
      <c r="V169" s="99"/>
      <c r="W169" s="99"/>
      <c r="X169" s="99"/>
      <c r="Y169" s="99"/>
      <c r="Z169" s="99"/>
      <c r="AA169" s="99"/>
      <c r="AB169" s="99"/>
    </row>
    <row r="170" spans="1:28" s="74" customFormat="1">
      <c r="A170" s="51" t="s">
        <v>418</v>
      </c>
      <c r="B170" s="220" t="s">
        <v>1200</v>
      </c>
      <c r="D170" s="81"/>
      <c r="E170" s="81"/>
      <c r="I170" s="99"/>
      <c r="J170" s="99"/>
      <c r="K170" s="99"/>
      <c r="L170" s="99"/>
      <c r="M170" s="99"/>
      <c r="N170" s="99"/>
      <c r="O170" s="99"/>
      <c r="P170" s="99"/>
      <c r="Q170" s="99"/>
      <c r="R170" s="99"/>
      <c r="S170" s="99"/>
      <c r="T170" s="99"/>
      <c r="U170" s="99"/>
      <c r="V170" s="99"/>
      <c r="W170" s="99"/>
      <c r="X170" s="99"/>
      <c r="Y170" s="99"/>
      <c r="Z170" s="99"/>
      <c r="AA170" s="99"/>
      <c r="AB170" s="99"/>
    </row>
    <row r="171" spans="1:28" s="74" customFormat="1">
      <c r="A171" s="51" t="s">
        <v>460</v>
      </c>
      <c r="B171" s="220" t="s">
        <v>1093</v>
      </c>
      <c r="D171" s="81"/>
      <c r="E171" s="81"/>
      <c r="I171" s="99"/>
      <c r="J171" s="99"/>
      <c r="K171" s="99"/>
      <c r="L171" s="99"/>
      <c r="M171" s="99"/>
      <c r="N171" s="99"/>
      <c r="O171" s="99"/>
      <c r="P171" s="99"/>
      <c r="Q171" s="99"/>
      <c r="R171" s="99"/>
      <c r="S171" s="99"/>
      <c r="T171" s="99"/>
      <c r="U171" s="99"/>
      <c r="V171" s="99"/>
      <c r="W171" s="99"/>
      <c r="X171" s="99"/>
      <c r="Y171" s="99"/>
      <c r="Z171" s="99"/>
      <c r="AA171" s="99"/>
      <c r="AB171" s="99"/>
    </row>
    <row r="172" spans="1:28" s="74" customFormat="1">
      <c r="A172" s="51" t="s">
        <v>424</v>
      </c>
      <c r="B172" s="220" t="s">
        <v>1243</v>
      </c>
      <c r="D172" s="81"/>
      <c r="E172" s="81"/>
      <c r="I172" s="99"/>
      <c r="J172" s="99"/>
      <c r="K172" s="99"/>
      <c r="L172" s="99"/>
      <c r="M172" s="99"/>
      <c r="N172" s="99"/>
      <c r="O172" s="99"/>
      <c r="P172" s="99"/>
      <c r="Q172" s="99"/>
      <c r="R172" s="99"/>
      <c r="S172" s="99"/>
      <c r="T172" s="99"/>
      <c r="U172" s="99"/>
      <c r="V172" s="99"/>
      <c r="W172" s="99"/>
      <c r="X172" s="99"/>
      <c r="Y172" s="99"/>
      <c r="Z172" s="99"/>
      <c r="AA172" s="99"/>
      <c r="AB172" s="99"/>
    </row>
    <row r="173" spans="1:28" s="74" customFormat="1">
      <c r="A173" s="51" t="s">
        <v>438</v>
      </c>
      <c r="B173" s="220" t="s">
        <v>1199</v>
      </c>
      <c r="D173" s="81"/>
      <c r="E173" s="81"/>
      <c r="I173" s="99"/>
      <c r="J173" s="99"/>
      <c r="K173" s="99"/>
      <c r="L173" s="99"/>
      <c r="M173" s="99"/>
      <c r="N173" s="99"/>
      <c r="O173" s="99"/>
      <c r="P173" s="99"/>
      <c r="Q173" s="99"/>
      <c r="R173" s="99"/>
      <c r="S173" s="99"/>
      <c r="T173" s="99"/>
      <c r="U173" s="99"/>
      <c r="V173" s="99"/>
      <c r="W173" s="99"/>
      <c r="X173" s="99"/>
      <c r="Y173" s="99"/>
      <c r="Z173" s="99"/>
      <c r="AA173" s="99"/>
      <c r="AB173" s="99"/>
    </row>
    <row r="174" spans="1:28" s="74" customFormat="1">
      <c r="A174" s="51" t="s">
        <v>458</v>
      </c>
      <c r="B174" s="220" t="s">
        <v>1198</v>
      </c>
      <c r="D174" s="81"/>
      <c r="E174" s="81"/>
      <c r="I174" s="99"/>
      <c r="J174" s="99"/>
      <c r="K174" s="99"/>
      <c r="L174" s="99"/>
      <c r="M174" s="99"/>
      <c r="N174" s="99"/>
      <c r="O174" s="99"/>
      <c r="P174" s="99"/>
      <c r="Q174" s="99"/>
      <c r="R174" s="99"/>
      <c r="S174" s="99"/>
      <c r="T174" s="99"/>
      <c r="U174" s="99"/>
      <c r="V174" s="99"/>
      <c r="W174" s="99"/>
      <c r="X174" s="99"/>
      <c r="Y174" s="99"/>
      <c r="Z174" s="99"/>
      <c r="AA174" s="99"/>
      <c r="AB174" s="99"/>
    </row>
    <row r="175" spans="1:28" s="74" customFormat="1">
      <c r="A175" s="51" t="s">
        <v>457</v>
      </c>
      <c r="B175" s="220" t="s">
        <v>1244</v>
      </c>
      <c r="D175" s="81"/>
      <c r="E175" s="81"/>
      <c r="I175" s="99"/>
      <c r="J175" s="99"/>
      <c r="K175" s="99"/>
      <c r="L175" s="99"/>
      <c r="M175" s="99"/>
      <c r="N175" s="99"/>
      <c r="O175" s="99"/>
      <c r="P175" s="99"/>
      <c r="Q175" s="99"/>
      <c r="R175" s="99"/>
      <c r="S175" s="99"/>
      <c r="T175" s="99"/>
      <c r="U175" s="99"/>
      <c r="V175" s="99"/>
      <c r="W175" s="99"/>
      <c r="X175" s="99"/>
      <c r="Y175" s="99"/>
      <c r="Z175" s="99"/>
      <c r="AA175" s="99"/>
      <c r="AB175" s="99"/>
    </row>
    <row r="176" spans="1:28" s="74" customFormat="1">
      <c r="A176" s="51" t="s">
        <v>440</v>
      </c>
      <c r="B176" s="220" t="s">
        <v>1199</v>
      </c>
      <c r="D176" s="81"/>
      <c r="E176" s="81"/>
      <c r="I176" s="99"/>
      <c r="J176" s="99"/>
      <c r="K176" s="99"/>
      <c r="L176" s="99"/>
      <c r="M176" s="99"/>
      <c r="N176" s="99"/>
      <c r="O176" s="99"/>
      <c r="P176" s="99"/>
      <c r="Q176" s="99"/>
      <c r="R176" s="99"/>
      <c r="S176" s="99"/>
      <c r="T176" s="99"/>
      <c r="U176" s="99"/>
      <c r="V176" s="99"/>
      <c r="W176" s="99"/>
      <c r="X176" s="99"/>
      <c r="Y176" s="99"/>
      <c r="Z176" s="99"/>
      <c r="AA176" s="99"/>
      <c r="AB176" s="99"/>
    </row>
    <row r="177" spans="1:28" s="74" customFormat="1">
      <c r="A177" s="51" t="s">
        <v>441</v>
      </c>
      <c r="B177" s="220" t="s">
        <v>1245</v>
      </c>
      <c r="D177" s="81"/>
      <c r="E177" s="81"/>
      <c r="I177" s="99"/>
      <c r="J177" s="99"/>
      <c r="K177" s="99"/>
      <c r="L177" s="99"/>
      <c r="M177" s="99"/>
      <c r="N177" s="99"/>
      <c r="O177" s="99"/>
      <c r="P177" s="99"/>
      <c r="Q177" s="99"/>
      <c r="R177" s="99"/>
      <c r="S177" s="99"/>
      <c r="T177" s="99"/>
      <c r="U177" s="99"/>
      <c r="V177" s="99"/>
      <c r="W177" s="99"/>
      <c r="X177" s="99"/>
      <c r="Y177" s="99"/>
      <c r="Z177" s="99"/>
      <c r="AA177" s="99"/>
      <c r="AB177" s="99"/>
    </row>
    <row r="178" spans="1:28" s="74" customFormat="1">
      <c r="A178" s="51" t="s">
        <v>400</v>
      </c>
      <c r="B178" s="220" t="s">
        <v>1094</v>
      </c>
      <c r="D178" s="81"/>
      <c r="E178" s="81"/>
      <c r="I178" s="99"/>
      <c r="J178" s="99"/>
      <c r="K178" s="99"/>
      <c r="L178" s="99"/>
      <c r="M178" s="99"/>
      <c r="N178" s="99"/>
      <c r="O178" s="99"/>
      <c r="P178" s="99"/>
      <c r="Q178" s="99"/>
      <c r="R178" s="99"/>
      <c r="S178" s="99"/>
      <c r="T178" s="99"/>
      <c r="U178" s="99"/>
      <c r="V178" s="99"/>
      <c r="W178" s="99"/>
      <c r="X178" s="99"/>
      <c r="Y178" s="99"/>
      <c r="Z178" s="99"/>
      <c r="AA178" s="99"/>
      <c r="AB178" s="99"/>
    </row>
    <row r="179" spans="1:28" s="74" customFormat="1">
      <c r="A179" s="51" t="s">
        <v>402</v>
      </c>
      <c r="B179" s="220" t="s">
        <v>1094</v>
      </c>
      <c r="D179" s="81"/>
      <c r="E179" s="81"/>
      <c r="I179" s="99"/>
      <c r="J179" s="99"/>
      <c r="K179" s="99"/>
      <c r="L179" s="99"/>
      <c r="M179" s="99"/>
      <c r="N179" s="99"/>
      <c r="O179" s="99"/>
      <c r="P179" s="99"/>
      <c r="Q179" s="99"/>
      <c r="R179" s="99"/>
      <c r="S179" s="99"/>
      <c r="T179" s="99"/>
      <c r="U179" s="99"/>
      <c r="V179" s="99"/>
      <c r="W179" s="99"/>
      <c r="X179" s="99"/>
      <c r="Y179" s="99"/>
      <c r="Z179" s="99"/>
      <c r="AA179" s="99"/>
      <c r="AB179" s="99"/>
    </row>
    <row r="180" spans="1:28" s="74" customFormat="1">
      <c r="A180" s="51" t="s">
        <v>464</v>
      </c>
      <c r="B180" s="220" t="s">
        <v>1095</v>
      </c>
      <c r="D180" s="81"/>
      <c r="E180" s="81"/>
      <c r="I180" s="99"/>
      <c r="J180" s="99"/>
      <c r="K180" s="99"/>
      <c r="L180" s="99"/>
      <c r="M180" s="99"/>
      <c r="N180" s="99"/>
      <c r="O180" s="99"/>
      <c r="P180" s="99"/>
      <c r="Q180" s="99"/>
      <c r="R180" s="99"/>
      <c r="S180" s="99"/>
      <c r="T180" s="99"/>
      <c r="U180" s="99"/>
      <c r="V180" s="99"/>
      <c r="W180" s="99"/>
      <c r="X180" s="99"/>
      <c r="Y180" s="99"/>
      <c r="Z180" s="99"/>
      <c r="AA180" s="99"/>
      <c r="AB180" s="99"/>
    </row>
    <row r="181" spans="1:28" s="74" customFormat="1">
      <c r="A181" s="51" t="s">
        <v>442</v>
      </c>
      <c r="B181" s="220" t="s">
        <v>1245</v>
      </c>
      <c r="D181" s="81"/>
      <c r="E181" s="81"/>
      <c r="I181" s="99"/>
      <c r="J181" s="99"/>
      <c r="K181" s="99"/>
      <c r="L181" s="99"/>
      <c r="M181" s="99"/>
      <c r="N181" s="99"/>
      <c r="O181" s="99"/>
      <c r="P181" s="99"/>
      <c r="Q181" s="99"/>
      <c r="R181" s="99"/>
      <c r="S181" s="99"/>
      <c r="T181" s="99"/>
      <c r="U181" s="99"/>
      <c r="V181" s="99"/>
      <c r="W181" s="99"/>
      <c r="X181" s="99"/>
      <c r="Y181" s="99"/>
      <c r="Z181" s="99"/>
      <c r="AA181" s="99"/>
      <c r="AB181" s="99"/>
    </row>
    <row r="182" spans="1:28" s="74" customFormat="1">
      <c r="A182" s="51" t="s">
        <v>420</v>
      </c>
      <c r="B182" s="220" t="s">
        <v>1197</v>
      </c>
      <c r="D182" s="81"/>
      <c r="E182" s="81"/>
      <c r="I182" s="99"/>
      <c r="J182" s="99"/>
      <c r="K182" s="99"/>
      <c r="L182" s="99"/>
      <c r="M182" s="99"/>
      <c r="N182" s="99"/>
      <c r="O182" s="99"/>
      <c r="P182" s="99"/>
      <c r="Q182" s="99"/>
      <c r="R182" s="99"/>
      <c r="S182" s="99"/>
      <c r="T182" s="99"/>
      <c r="U182" s="99"/>
      <c r="V182" s="99"/>
      <c r="W182" s="99"/>
      <c r="X182" s="99"/>
      <c r="Y182" s="99"/>
      <c r="Z182" s="99"/>
      <c r="AA182" s="99"/>
      <c r="AB182" s="99"/>
    </row>
    <row r="183" spans="1:28" s="74" customFormat="1">
      <c r="A183" s="51" t="s">
        <v>410</v>
      </c>
      <c r="B183" s="220" t="s">
        <v>1091</v>
      </c>
      <c r="D183" s="81"/>
      <c r="E183" s="81"/>
      <c r="I183" s="99"/>
      <c r="J183" s="99"/>
      <c r="K183" s="99"/>
      <c r="L183" s="99"/>
      <c r="M183" s="99"/>
      <c r="N183" s="99"/>
      <c r="O183" s="99"/>
      <c r="P183" s="99"/>
      <c r="Q183" s="99"/>
      <c r="R183" s="99"/>
      <c r="S183" s="99"/>
      <c r="T183" s="99"/>
      <c r="U183" s="99"/>
      <c r="V183" s="99"/>
      <c r="W183" s="99"/>
      <c r="X183" s="99"/>
      <c r="Y183" s="99"/>
      <c r="Z183" s="99"/>
      <c r="AA183" s="99"/>
      <c r="AB183" s="99"/>
    </row>
    <row r="184" spans="1:28" s="74" customFormat="1">
      <c r="A184" s="51" t="s">
        <v>467</v>
      </c>
      <c r="B184" s="220" t="s">
        <v>1096</v>
      </c>
      <c r="D184" s="81"/>
      <c r="E184" s="81"/>
      <c r="I184" s="99"/>
      <c r="J184" s="99"/>
      <c r="K184" s="99"/>
      <c r="L184" s="99"/>
      <c r="M184" s="99"/>
      <c r="N184" s="99"/>
      <c r="O184" s="99"/>
      <c r="P184" s="99"/>
      <c r="Q184" s="99"/>
      <c r="R184" s="99"/>
      <c r="S184" s="99"/>
      <c r="T184" s="99"/>
      <c r="U184" s="99"/>
      <c r="V184" s="99"/>
      <c r="W184" s="99"/>
      <c r="X184" s="99"/>
      <c r="Y184" s="99"/>
      <c r="Z184" s="99"/>
      <c r="AA184" s="99"/>
      <c r="AB184" s="99"/>
    </row>
    <row r="185" spans="1:28" s="74" customFormat="1">
      <c r="A185" s="51" t="s">
        <v>394</v>
      </c>
      <c r="B185" s="220" t="s">
        <v>1123</v>
      </c>
      <c r="D185" s="81"/>
      <c r="E185" s="81"/>
      <c r="I185" s="99"/>
      <c r="J185" s="99"/>
      <c r="K185" s="99"/>
      <c r="L185" s="99"/>
      <c r="M185" s="99"/>
      <c r="N185" s="99"/>
      <c r="O185" s="99"/>
      <c r="P185" s="99"/>
      <c r="Q185" s="99"/>
      <c r="R185" s="99"/>
      <c r="S185" s="99"/>
      <c r="T185" s="99"/>
      <c r="U185" s="99"/>
      <c r="V185" s="99"/>
      <c r="W185" s="99"/>
      <c r="X185" s="99"/>
      <c r="Y185" s="99"/>
      <c r="Z185" s="99"/>
      <c r="AA185" s="99"/>
      <c r="AB185" s="99"/>
    </row>
    <row r="186" spans="1:28" s="74" customFormat="1">
      <c r="A186" s="51" t="s">
        <v>396</v>
      </c>
      <c r="B186" s="220" t="s">
        <v>1124</v>
      </c>
      <c r="D186" s="81"/>
      <c r="E186" s="81"/>
      <c r="I186" s="99"/>
      <c r="J186" s="99"/>
      <c r="K186" s="99"/>
      <c r="L186" s="99"/>
      <c r="M186" s="99"/>
      <c r="N186" s="99"/>
      <c r="O186" s="99"/>
      <c r="P186" s="99"/>
      <c r="Q186" s="99"/>
      <c r="R186" s="99"/>
      <c r="S186" s="99"/>
      <c r="T186" s="99"/>
      <c r="U186" s="99"/>
      <c r="V186" s="99"/>
      <c r="W186" s="99"/>
      <c r="X186" s="99"/>
      <c r="Y186" s="99"/>
      <c r="Z186" s="99"/>
      <c r="AA186" s="99"/>
      <c r="AB186" s="99"/>
    </row>
    <row r="187" spans="1:28" s="74" customFormat="1">
      <c r="A187" s="51" t="s">
        <v>411</v>
      </c>
      <c r="B187" s="220" t="s">
        <v>1091</v>
      </c>
      <c r="D187" s="81"/>
      <c r="E187" s="81"/>
      <c r="I187" s="99"/>
      <c r="J187" s="99"/>
      <c r="K187" s="99"/>
      <c r="L187" s="99"/>
      <c r="M187" s="99"/>
      <c r="N187" s="99"/>
      <c r="O187" s="99"/>
      <c r="P187" s="99"/>
      <c r="Q187" s="99"/>
      <c r="R187" s="99"/>
      <c r="S187" s="99"/>
      <c r="T187" s="99"/>
      <c r="U187" s="99"/>
      <c r="V187" s="99"/>
      <c r="W187" s="99"/>
      <c r="X187" s="99"/>
      <c r="Y187" s="99"/>
      <c r="Z187" s="99"/>
      <c r="AA187" s="99"/>
      <c r="AB187" s="99"/>
    </row>
    <row r="188" spans="1:28" s="74" customFormat="1">
      <c r="A188" s="51" t="s">
        <v>443</v>
      </c>
      <c r="B188" s="220" t="s">
        <v>1199</v>
      </c>
      <c r="D188" s="81"/>
      <c r="E188" s="81"/>
      <c r="I188" s="99"/>
      <c r="J188" s="99"/>
      <c r="K188" s="99"/>
      <c r="L188" s="99"/>
      <c r="M188" s="99"/>
      <c r="N188" s="99"/>
      <c r="O188" s="99"/>
      <c r="P188" s="99"/>
      <c r="Q188" s="99"/>
      <c r="R188" s="99"/>
      <c r="S188" s="99"/>
      <c r="T188" s="99"/>
      <c r="U188" s="99"/>
      <c r="V188" s="99"/>
      <c r="W188" s="99"/>
      <c r="X188" s="99"/>
      <c r="Y188" s="99"/>
      <c r="Z188" s="99"/>
      <c r="AA188" s="99"/>
      <c r="AB188" s="99"/>
    </row>
    <row r="189" spans="1:28" s="74" customFormat="1">
      <c r="A189" s="51" t="s">
        <v>430</v>
      </c>
      <c r="B189" s="220" t="s">
        <v>1097</v>
      </c>
      <c r="D189" s="81"/>
      <c r="E189" s="81"/>
      <c r="I189" s="99"/>
      <c r="J189" s="99"/>
      <c r="K189" s="99"/>
      <c r="L189" s="99"/>
      <c r="M189" s="99"/>
      <c r="N189" s="99"/>
      <c r="O189" s="99"/>
      <c r="P189" s="99"/>
      <c r="Q189" s="99"/>
      <c r="R189" s="99"/>
      <c r="S189" s="99"/>
      <c r="T189" s="99"/>
      <c r="U189" s="99"/>
      <c r="V189" s="99"/>
      <c r="W189" s="99"/>
      <c r="X189" s="99"/>
      <c r="Y189" s="99"/>
      <c r="Z189" s="99"/>
      <c r="AA189" s="99"/>
      <c r="AB189" s="99"/>
    </row>
    <row r="190" spans="1:28" s="74" customFormat="1">
      <c r="A190" s="51" t="s">
        <v>432</v>
      </c>
      <c r="B190" s="220" t="s">
        <v>1097</v>
      </c>
      <c r="D190" s="100"/>
      <c r="E190" s="100"/>
      <c r="F190" s="100"/>
      <c r="I190" s="99"/>
      <c r="J190" s="99"/>
      <c r="K190" s="99"/>
      <c r="L190" s="99"/>
      <c r="M190" s="99"/>
      <c r="N190" s="99"/>
      <c r="O190" s="99"/>
      <c r="P190" s="99"/>
      <c r="Q190" s="99"/>
      <c r="R190" s="99"/>
      <c r="S190" s="99"/>
      <c r="T190" s="99"/>
      <c r="U190" s="99"/>
      <c r="V190" s="99"/>
      <c r="W190" s="99"/>
      <c r="X190" s="99"/>
      <c r="Y190" s="99"/>
      <c r="Z190" s="99"/>
      <c r="AA190" s="99"/>
      <c r="AB190" s="99"/>
    </row>
    <row r="191" spans="1:28" s="74" customFormat="1">
      <c r="A191" s="51" t="s">
        <v>435</v>
      </c>
      <c r="B191" s="220" t="s">
        <v>1195</v>
      </c>
      <c r="D191" s="100"/>
      <c r="E191" s="100"/>
      <c r="F191" s="100"/>
      <c r="I191" s="99"/>
      <c r="J191" s="99"/>
      <c r="K191" s="99"/>
      <c r="L191" s="99"/>
      <c r="M191" s="99"/>
      <c r="N191" s="99"/>
      <c r="O191" s="99"/>
      <c r="P191" s="99"/>
      <c r="Q191" s="99"/>
      <c r="R191" s="99"/>
      <c r="S191" s="99"/>
      <c r="T191" s="99"/>
      <c r="U191" s="99"/>
      <c r="V191" s="99"/>
      <c r="W191" s="99"/>
      <c r="X191" s="99"/>
      <c r="Y191" s="99"/>
      <c r="Z191" s="99"/>
      <c r="AA191" s="99"/>
      <c r="AB191" s="99"/>
    </row>
    <row r="192" spans="1:28" s="74" customFormat="1">
      <c r="A192" s="410" t="s">
        <v>413</v>
      </c>
      <c r="B192" s="220" t="s">
        <v>1189</v>
      </c>
      <c r="D192" s="100"/>
      <c r="E192" s="100"/>
      <c r="F192" s="100"/>
      <c r="I192" s="99"/>
      <c r="J192" s="99"/>
      <c r="K192" s="99"/>
      <c r="L192" s="99"/>
      <c r="M192" s="99"/>
      <c r="N192" s="99"/>
      <c r="O192" s="99"/>
      <c r="P192" s="99"/>
      <c r="Q192" s="99"/>
      <c r="R192" s="99"/>
      <c r="S192" s="99"/>
      <c r="T192" s="99"/>
      <c r="U192" s="99"/>
      <c r="V192" s="99"/>
      <c r="W192" s="99"/>
      <c r="X192" s="99"/>
      <c r="Y192" s="99"/>
      <c r="Z192" s="99"/>
      <c r="AA192" s="99"/>
      <c r="AB192" s="99"/>
    </row>
    <row r="193" spans="1:28" s="74" customFormat="1">
      <c r="A193" s="410"/>
      <c r="B193" s="220" t="s">
        <v>1100</v>
      </c>
      <c r="D193" s="100"/>
      <c r="E193" s="100"/>
      <c r="F193" s="100"/>
      <c r="I193" s="99"/>
      <c r="J193" s="99"/>
      <c r="K193" s="99"/>
      <c r="L193" s="99"/>
      <c r="M193" s="99"/>
      <c r="N193" s="99"/>
      <c r="O193" s="99"/>
      <c r="P193" s="99"/>
      <c r="Q193" s="99"/>
      <c r="R193" s="99"/>
      <c r="S193" s="99"/>
      <c r="T193" s="99"/>
      <c r="U193" s="99"/>
      <c r="V193" s="99"/>
      <c r="W193" s="99"/>
      <c r="X193" s="99"/>
      <c r="Y193" s="99"/>
      <c r="Z193" s="99"/>
      <c r="AA193" s="99"/>
      <c r="AB193" s="99"/>
    </row>
    <row r="194" spans="1:28" s="74" customFormat="1">
      <c r="A194" s="51" t="s">
        <v>462</v>
      </c>
      <c r="B194" s="220" t="s">
        <v>1175</v>
      </c>
      <c r="D194" s="100"/>
      <c r="E194" s="100"/>
      <c r="F194" s="100"/>
      <c r="I194" s="99"/>
      <c r="J194" s="99"/>
      <c r="K194" s="99"/>
      <c r="L194" s="99"/>
      <c r="M194" s="99"/>
      <c r="N194" s="99"/>
      <c r="O194" s="99"/>
      <c r="P194" s="99"/>
      <c r="Q194" s="99"/>
      <c r="R194" s="99"/>
      <c r="S194" s="99"/>
      <c r="T194" s="99"/>
      <c r="U194" s="99"/>
      <c r="V194" s="99"/>
      <c r="W194" s="99"/>
      <c r="X194" s="99"/>
      <c r="Y194" s="99"/>
      <c r="Z194" s="99"/>
      <c r="AA194" s="99"/>
      <c r="AB194" s="99"/>
    </row>
    <row r="195" spans="1:28" s="74" customFormat="1">
      <c r="A195" s="51" t="s">
        <v>403</v>
      </c>
      <c r="B195" s="220" t="s">
        <v>1094</v>
      </c>
      <c r="D195" s="100"/>
      <c r="E195" s="100"/>
      <c r="F195" s="100"/>
      <c r="I195" s="99"/>
      <c r="J195" s="99"/>
      <c r="K195" s="99"/>
      <c r="L195" s="99"/>
      <c r="M195" s="99"/>
      <c r="N195" s="99"/>
      <c r="O195" s="99"/>
      <c r="P195" s="99"/>
      <c r="Q195" s="99"/>
      <c r="R195" s="99"/>
      <c r="S195" s="99"/>
      <c r="T195" s="99"/>
      <c r="U195" s="99"/>
      <c r="V195" s="99"/>
      <c r="W195" s="99"/>
      <c r="X195" s="99"/>
      <c r="Y195" s="99"/>
      <c r="Z195" s="99"/>
      <c r="AA195" s="99"/>
      <c r="AB195" s="99"/>
    </row>
    <row r="196" spans="1:28" s="74" customFormat="1">
      <c r="A196" s="51" t="s">
        <v>433</v>
      </c>
      <c r="B196" s="220" t="s">
        <v>1097</v>
      </c>
      <c r="I196" s="99"/>
      <c r="J196" s="99"/>
      <c r="K196" s="99"/>
      <c r="L196" s="99"/>
      <c r="M196" s="99"/>
      <c r="N196" s="99"/>
      <c r="O196" s="99"/>
      <c r="P196" s="99"/>
      <c r="Q196" s="99"/>
      <c r="R196" s="99"/>
      <c r="S196" s="99"/>
      <c r="T196" s="99"/>
      <c r="U196" s="99"/>
      <c r="V196" s="99"/>
      <c r="W196" s="99"/>
      <c r="X196" s="99"/>
      <c r="Y196" s="99"/>
      <c r="Z196" s="99"/>
      <c r="AA196" s="99"/>
      <c r="AB196" s="99"/>
    </row>
    <row r="197" spans="1:28" s="74" customFormat="1">
      <c r="A197" s="51" t="s">
        <v>444</v>
      </c>
      <c r="B197" s="220" t="s">
        <v>1199</v>
      </c>
      <c r="I197" s="99"/>
      <c r="J197" s="99"/>
      <c r="K197" s="99"/>
      <c r="L197" s="99"/>
      <c r="M197" s="99"/>
      <c r="N197" s="99"/>
      <c r="O197" s="99"/>
      <c r="P197" s="99"/>
      <c r="Q197" s="99"/>
      <c r="R197" s="99"/>
      <c r="S197" s="99"/>
      <c r="T197" s="99"/>
      <c r="U197" s="99"/>
      <c r="V197" s="99"/>
      <c r="W197" s="99"/>
      <c r="X197" s="99"/>
      <c r="Y197" s="99"/>
      <c r="Z197" s="99"/>
      <c r="AA197" s="99"/>
      <c r="AB197" s="99"/>
    </row>
    <row r="198" spans="1:28" s="74" customFormat="1">
      <c r="A198" s="51" t="s">
        <v>445</v>
      </c>
      <c r="B198" s="220" t="s">
        <v>1199</v>
      </c>
      <c r="I198" s="99"/>
      <c r="J198" s="99"/>
      <c r="K198" s="99"/>
      <c r="L198" s="99"/>
      <c r="M198" s="99"/>
      <c r="N198" s="99"/>
      <c r="O198" s="99"/>
      <c r="P198" s="99"/>
      <c r="Q198" s="99"/>
      <c r="R198" s="99"/>
      <c r="S198" s="99"/>
      <c r="T198" s="99"/>
      <c r="U198" s="99"/>
      <c r="V198" s="99"/>
      <c r="W198" s="99"/>
      <c r="X198" s="99"/>
      <c r="Y198" s="99"/>
      <c r="Z198" s="99"/>
      <c r="AA198" s="99"/>
      <c r="AB198" s="99"/>
    </row>
    <row r="199" spans="1:28" s="74" customFormat="1">
      <c r="A199" s="51" t="s">
        <v>469</v>
      </c>
      <c r="B199" s="220" t="s">
        <v>1096</v>
      </c>
      <c r="I199" s="99"/>
      <c r="J199" s="99"/>
      <c r="K199" s="99"/>
      <c r="L199" s="99"/>
      <c r="M199" s="99"/>
      <c r="N199" s="99"/>
      <c r="O199" s="99"/>
      <c r="P199" s="99"/>
      <c r="Q199" s="99"/>
      <c r="R199" s="99"/>
      <c r="S199" s="99"/>
      <c r="T199" s="99"/>
      <c r="U199" s="99"/>
      <c r="V199" s="99"/>
      <c r="W199" s="99"/>
      <c r="X199" s="99"/>
      <c r="Y199" s="99"/>
      <c r="Z199" s="99"/>
      <c r="AA199" s="99"/>
      <c r="AB199" s="99"/>
    </row>
    <row r="200" spans="1:28" s="74" customFormat="1">
      <c r="A200" s="51" t="s">
        <v>466</v>
      </c>
      <c r="B200" s="220" t="s">
        <v>1095</v>
      </c>
      <c r="I200" s="99"/>
      <c r="J200" s="99"/>
      <c r="K200" s="99"/>
      <c r="L200" s="99"/>
      <c r="M200" s="99"/>
      <c r="N200" s="99"/>
      <c r="O200" s="99"/>
      <c r="P200" s="99"/>
      <c r="Q200" s="99"/>
      <c r="R200" s="99"/>
      <c r="S200" s="99"/>
      <c r="T200" s="99"/>
      <c r="U200" s="99"/>
      <c r="V200" s="99"/>
      <c r="W200" s="99"/>
      <c r="X200" s="99"/>
      <c r="Y200" s="99"/>
      <c r="Z200" s="99"/>
      <c r="AA200" s="99"/>
      <c r="AB200" s="99"/>
    </row>
    <row r="201" spans="1:28" s="74" customFormat="1">
      <c r="A201" s="410" t="s">
        <v>447</v>
      </c>
      <c r="B201" s="220" t="s">
        <v>1188</v>
      </c>
      <c r="I201" s="99"/>
      <c r="J201" s="99"/>
      <c r="K201" s="99"/>
      <c r="L201" s="99"/>
      <c r="M201" s="99"/>
      <c r="N201" s="99"/>
      <c r="O201" s="99"/>
      <c r="P201" s="99"/>
      <c r="Q201" s="99"/>
      <c r="R201" s="99"/>
      <c r="S201" s="99"/>
      <c r="T201" s="99"/>
      <c r="U201" s="99"/>
      <c r="V201" s="99"/>
      <c r="W201" s="99"/>
      <c r="X201" s="99"/>
      <c r="Y201" s="99"/>
      <c r="Z201" s="99"/>
      <c r="AA201" s="99"/>
      <c r="AB201" s="99"/>
    </row>
    <row r="202" spans="1:28" s="74" customFormat="1">
      <c r="A202" s="410"/>
      <c r="B202" s="220" t="s">
        <v>1098</v>
      </c>
      <c r="I202" s="99"/>
      <c r="J202" s="99"/>
      <c r="K202" s="99"/>
      <c r="L202" s="99"/>
      <c r="M202" s="99"/>
      <c r="N202" s="99"/>
      <c r="O202" s="99"/>
      <c r="P202" s="99"/>
      <c r="Q202" s="99"/>
      <c r="R202" s="99"/>
      <c r="S202" s="99"/>
      <c r="T202" s="99"/>
      <c r="U202" s="99"/>
      <c r="V202" s="99"/>
      <c r="W202" s="99"/>
      <c r="X202" s="99"/>
      <c r="Y202" s="99"/>
      <c r="Z202" s="99"/>
      <c r="AA202" s="99"/>
      <c r="AB202" s="99"/>
    </row>
    <row r="203" spans="1:28" s="74" customFormat="1">
      <c r="A203" s="51" t="s">
        <v>415</v>
      </c>
      <c r="B203" s="220" t="s">
        <v>1194</v>
      </c>
      <c r="I203" s="99"/>
      <c r="J203" s="99"/>
      <c r="K203" s="99"/>
      <c r="L203" s="99"/>
      <c r="M203" s="99"/>
      <c r="N203" s="99"/>
      <c r="O203" s="99"/>
      <c r="P203" s="99"/>
      <c r="Q203" s="99"/>
      <c r="R203" s="99"/>
      <c r="S203" s="99"/>
      <c r="T203" s="99"/>
      <c r="U203" s="99"/>
      <c r="V203" s="99"/>
      <c r="W203" s="99"/>
      <c r="X203" s="99"/>
      <c r="Y203" s="99"/>
      <c r="Z203" s="99"/>
      <c r="AA203" s="99"/>
      <c r="AB203" s="99"/>
    </row>
    <row r="204" spans="1:28" s="74" customFormat="1">
      <c r="A204" s="51" t="s">
        <v>470</v>
      </c>
      <c r="B204" s="220" t="s">
        <v>1096</v>
      </c>
      <c r="I204" s="99"/>
      <c r="J204" s="99"/>
      <c r="K204" s="99"/>
      <c r="L204" s="99"/>
      <c r="M204" s="99"/>
      <c r="N204" s="99"/>
      <c r="O204" s="99"/>
      <c r="P204" s="99"/>
      <c r="Q204" s="99"/>
      <c r="R204" s="99"/>
      <c r="S204" s="99"/>
      <c r="T204" s="99"/>
      <c r="U204" s="99"/>
      <c r="V204" s="99"/>
      <c r="W204" s="99"/>
      <c r="X204" s="99"/>
      <c r="Y204" s="99"/>
      <c r="Z204" s="99"/>
      <c r="AA204" s="99"/>
      <c r="AB204" s="99"/>
    </row>
    <row r="205" spans="1:28" s="74" customFormat="1">
      <c r="A205" s="51" t="s">
        <v>451</v>
      </c>
      <c r="B205" s="220" t="s">
        <v>1201</v>
      </c>
      <c r="I205" s="99"/>
      <c r="J205" s="99"/>
      <c r="K205" s="99"/>
      <c r="L205" s="99"/>
      <c r="M205" s="99"/>
      <c r="N205" s="99"/>
      <c r="O205" s="99"/>
      <c r="P205" s="99"/>
      <c r="Q205" s="99"/>
      <c r="R205" s="99"/>
      <c r="S205" s="99"/>
      <c r="T205" s="99"/>
      <c r="U205" s="99"/>
      <c r="V205" s="99"/>
      <c r="W205" s="99"/>
      <c r="X205" s="99"/>
      <c r="Y205" s="99"/>
      <c r="Z205" s="99"/>
      <c r="AA205" s="99"/>
      <c r="AB205" s="99"/>
    </row>
    <row r="206" spans="1:28" s="74" customFormat="1">
      <c r="A206" s="51" t="s">
        <v>428</v>
      </c>
      <c r="B206" s="220" t="s">
        <v>1193</v>
      </c>
      <c r="I206" s="99"/>
      <c r="J206" s="99"/>
      <c r="K206" s="99"/>
      <c r="L206" s="99"/>
      <c r="M206" s="99"/>
      <c r="N206" s="99"/>
      <c r="O206" s="99"/>
      <c r="P206" s="99"/>
      <c r="Q206" s="99"/>
      <c r="R206" s="99"/>
      <c r="S206" s="99"/>
      <c r="T206" s="99"/>
      <c r="U206" s="99"/>
      <c r="V206" s="99"/>
      <c r="W206" s="99"/>
      <c r="X206" s="99"/>
      <c r="Y206" s="99"/>
      <c r="Z206" s="99"/>
      <c r="AA206" s="99"/>
      <c r="AB206" s="99"/>
    </row>
    <row r="207" spans="1:28" s="74" customFormat="1">
      <c r="A207" s="51" t="s">
        <v>425</v>
      </c>
      <c r="B207" s="220" t="s">
        <v>1192</v>
      </c>
      <c r="I207" s="99"/>
      <c r="J207" s="99"/>
      <c r="K207" s="99"/>
      <c r="L207" s="99"/>
      <c r="M207" s="99"/>
      <c r="N207" s="99"/>
      <c r="O207" s="99"/>
      <c r="P207" s="99"/>
      <c r="Q207" s="99"/>
      <c r="R207" s="99"/>
      <c r="S207" s="99"/>
      <c r="T207" s="99"/>
      <c r="U207" s="99"/>
      <c r="V207" s="99"/>
      <c r="W207" s="99"/>
      <c r="X207" s="99"/>
      <c r="Y207" s="99"/>
      <c r="Z207" s="99"/>
      <c r="AA207" s="99"/>
      <c r="AB207" s="99"/>
    </row>
    <row r="208" spans="1:28" s="74" customFormat="1">
      <c r="A208" s="51" t="s">
        <v>404</v>
      </c>
      <c r="B208" s="220" t="s">
        <v>1094</v>
      </c>
      <c r="I208" s="99"/>
      <c r="J208" s="99"/>
      <c r="K208" s="99"/>
      <c r="L208" s="99"/>
      <c r="M208" s="99"/>
      <c r="N208" s="99"/>
      <c r="O208" s="99"/>
      <c r="P208" s="99"/>
      <c r="Q208" s="99"/>
      <c r="R208" s="99"/>
      <c r="S208" s="99"/>
      <c r="T208" s="99"/>
      <c r="U208" s="99"/>
      <c r="V208" s="99"/>
      <c r="W208" s="99"/>
      <c r="X208" s="99"/>
      <c r="Y208" s="99"/>
      <c r="Z208" s="99"/>
      <c r="AA208" s="99"/>
      <c r="AB208" s="99"/>
    </row>
    <row r="209" spans="1:28" s="74" customFormat="1">
      <c r="A209" s="51" t="s">
        <v>434</v>
      </c>
      <c r="B209" s="220" t="s">
        <v>1097</v>
      </c>
      <c r="I209" s="99"/>
      <c r="J209" s="99"/>
      <c r="K209" s="99"/>
      <c r="L209" s="99"/>
      <c r="M209" s="99"/>
      <c r="N209" s="99"/>
      <c r="O209" s="99"/>
      <c r="P209" s="99"/>
      <c r="Q209" s="99"/>
      <c r="R209" s="99"/>
      <c r="S209" s="99"/>
      <c r="T209" s="99"/>
      <c r="U209" s="99"/>
      <c r="V209" s="99"/>
      <c r="W209" s="99"/>
      <c r="X209" s="99"/>
      <c r="Y209" s="99"/>
      <c r="Z209" s="99"/>
      <c r="AA209" s="99"/>
      <c r="AB209" s="99"/>
    </row>
    <row r="210" spans="1:28" s="74" customFormat="1">
      <c r="A210" s="51" t="s">
        <v>446</v>
      </c>
      <c r="B210" s="220" t="s">
        <v>1199</v>
      </c>
      <c r="I210" s="99"/>
      <c r="J210" s="99"/>
      <c r="K210" s="99"/>
      <c r="L210" s="99"/>
      <c r="M210" s="99"/>
      <c r="N210" s="99"/>
      <c r="O210" s="99"/>
      <c r="P210" s="99"/>
      <c r="Q210" s="99"/>
      <c r="R210" s="99"/>
      <c r="S210" s="99"/>
      <c r="T210" s="99"/>
      <c r="U210" s="99"/>
      <c r="V210" s="99"/>
      <c r="W210" s="99"/>
      <c r="X210" s="99"/>
      <c r="Y210" s="99"/>
      <c r="Z210" s="99"/>
      <c r="AA210" s="99"/>
      <c r="AB210" s="99"/>
    </row>
    <row r="211" spans="1:28" s="74" customFormat="1">
      <c r="A211" s="51" t="s">
        <v>453</v>
      </c>
      <c r="B211" s="220" t="s">
        <v>1098</v>
      </c>
      <c r="I211" s="99"/>
      <c r="J211" s="99"/>
      <c r="K211" s="99"/>
      <c r="L211" s="99"/>
      <c r="M211" s="99"/>
      <c r="N211" s="99"/>
      <c r="O211" s="99"/>
      <c r="P211" s="99"/>
      <c r="Q211" s="99"/>
      <c r="R211" s="99"/>
      <c r="S211" s="99"/>
      <c r="T211" s="99"/>
      <c r="U211" s="99"/>
      <c r="V211" s="99"/>
      <c r="W211" s="99"/>
      <c r="X211" s="99"/>
      <c r="Y211" s="99"/>
      <c r="Z211" s="99"/>
      <c r="AA211" s="99"/>
      <c r="AB211" s="99"/>
    </row>
    <row r="212" spans="1:28" s="74" customFormat="1">
      <c r="A212" s="51" t="s">
        <v>463</v>
      </c>
      <c r="B212" s="220" t="s">
        <v>1093</v>
      </c>
      <c r="I212" s="99"/>
      <c r="J212" s="99"/>
      <c r="K212" s="99"/>
      <c r="L212" s="99"/>
      <c r="M212" s="99"/>
      <c r="N212" s="99"/>
      <c r="O212" s="99"/>
      <c r="P212" s="99"/>
      <c r="Q212" s="99"/>
      <c r="R212" s="99"/>
      <c r="S212" s="99"/>
      <c r="T212" s="99"/>
      <c r="U212" s="99"/>
      <c r="V212" s="99"/>
      <c r="W212" s="99"/>
      <c r="X212" s="99"/>
      <c r="Y212" s="99"/>
      <c r="Z212" s="99"/>
      <c r="AA212" s="99"/>
      <c r="AB212" s="99"/>
    </row>
    <row r="213" spans="1:28" s="74" customFormat="1">
      <c r="A213" s="51" t="s">
        <v>427</v>
      </c>
      <c r="B213" s="220" t="s">
        <v>1246</v>
      </c>
      <c r="I213" s="99"/>
      <c r="J213" s="99"/>
      <c r="K213" s="99"/>
      <c r="L213" s="99"/>
      <c r="M213" s="99"/>
      <c r="N213" s="99"/>
      <c r="O213" s="99"/>
      <c r="P213" s="99"/>
      <c r="Q213" s="99"/>
      <c r="R213" s="99"/>
      <c r="S213" s="99"/>
      <c r="T213" s="99"/>
      <c r="U213" s="99"/>
      <c r="V213" s="99"/>
      <c r="W213" s="99"/>
      <c r="X213" s="99"/>
      <c r="Y213" s="99"/>
      <c r="Z213" s="99"/>
      <c r="AA213" s="99"/>
      <c r="AB213" s="99"/>
    </row>
    <row r="214" spans="1:28" s="74" customFormat="1">
      <c r="A214" s="51" t="s">
        <v>412</v>
      </c>
      <c r="B214" s="220" t="s">
        <v>1091</v>
      </c>
      <c r="I214" s="99"/>
      <c r="J214" s="99"/>
      <c r="K214" s="99"/>
      <c r="L214" s="99"/>
      <c r="M214" s="99"/>
      <c r="N214" s="99"/>
      <c r="O214" s="99"/>
      <c r="P214" s="99"/>
      <c r="Q214" s="99"/>
      <c r="R214" s="99"/>
      <c r="S214" s="99"/>
      <c r="T214" s="99"/>
      <c r="U214" s="99"/>
      <c r="V214" s="99"/>
      <c r="W214" s="99"/>
      <c r="X214" s="99"/>
      <c r="Y214" s="99"/>
      <c r="Z214" s="99"/>
      <c r="AA214" s="99"/>
      <c r="AB214" s="99"/>
    </row>
    <row r="215" spans="1:28" s="74" customFormat="1">
      <c r="A215" s="51" t="s">
        <v>417</v>
      </c>
      <c r="B215" s="220" t="s">
        <v>1194</v>
      </c>
      <c r="I215" s="99"/>
      <c r="J215" s="99"/>
      <c r="K215" s="99"/>
      <c r="L215" s="99"/>
      <c r="M215" s="99"/>
      <c r="N215" s="99"/>
      <c r="O215" s="99"/>
      <c r="P215" s="99"/>
      <c r="Q215" s="99"/>
      <c r="R215" s="99"/>
      <c r="S215" s="99"/>
      <c r="T215" s="99"/>
      <c r="U215" s="99"/>
      <c r="V215" s="99"/>
      <c r="W215" s="99"/>
      <c r="X215" s="99"/>
      <c r="Y215" s="99"/>
      <c r="Z215" s="99"/>
      <c r="AA215" s="99"/>
      <c r="AB215" s="99"/>
    </row>
    <row r="216" spans="1:28" s="74" customFormat="1">
      <c r="A216" s="51" t="s">
        <v>398</v>
      </c>
      <c r="B216" s="220" t="s">
        <v>1125</v>
      </c>
      <c r="I216" s="99"/>
      <c r="J216" s="99"/>
      <c r="K216" s="99"/>
      <c r="L216" s="99"/>
      <c r="M216" s="99"/>
      <c r="N216" s="99"/>
      <c r="O216" s="99"/>
      <c r="P216" s="99"/>
      <c r="Q216" s="99"/>
      <c r="R216" s="99"/>
      <c r="S216" s="99"/>
      <c r="T216" s="99"/>
      <c r="U216" s="99"/>
      <c r="V216" s="99"/>
      <c r="W216" s="99"/>
      <c r="X216" s="99"/>
      <c r="Y216" s="99"/>
      <c r="Z216" s="99"/>
      <c r="AA216" s="99"/>
      <c r="AB216" s="99"/>
    </row>
    <row r="217" spans="1:28" s="74" customFormat="1">
      <c r="A217" s="51" t="s">
        <v>456</v>
      </c>
      <c r="B217" s="220" t="s">
        <v>1202</v>
      </c>
      <c r="I217" s="99"/>
      <c r="J217" s="99"/>
      <c r="K217" s="99"/>
      <c r="L217" s="99"/>
      <c r="M217" s="99"/>
      <c r="N217" s="99"/>
      <c r="O217" s="99"/>
      <c r="P217" s="99"/>
      <c r="Q217" s="99"/>
      <c r="R217" s="99"/>
      <c r="S217" s="99"/>
      <c r="T217" s="99"/>
      <c r="U217" s="99"/>
      <c r="V217" s="99"/>
      <c r="W217" s="99"/>
      <c r="X217" s="99"/>
      <c r="Y217" s="99"/>
      <c r="Z217" s="99"/>
      <c r="AA217" s="99"/>
      <c r="AB217" s="99"/>
    </row>
    <row r="218" spans="1:28" s="74" customFormat="1">
      <c r="A218" s="362" t="s">
        <v>1237</v>
      </c>
      <c r="B218" s="363">
        <v>52</v>
      </c>
      <c r="I218" s="99"/>
      <c r="J218" s="99"/>
      <c r="K218" s="99"/>
      <c r="L218" s="99"/>
      <c r="M218" s="99"/>
      <c r="N218" s="99"/>
      <c r="O218" s="99"/>
      <c r="P218" s="99"/>
      <c r="Q218" s="99"/>
      <c r="R218" s="99"/>
      <c r="S218" s="99"/>
      <c r="T218" s="99"/>
      <c r="U218" s="99"/>
      <c r="V218" s="99"/>
      <c r="W218" s="99"/>
      <c r="X218" s="99"/>
      <c r="Y218" s="99"/>
      <c r="Z218" s="99"/>
      <c r="AA218" s="99"/>
      <c r="AB218" s="99"/>
    </row>
    <row r="219" spans="1:28" s="74" customFormat="1">
      <c r="A219" s="155"/>
      <c r="B219" s="302"/>
      <c r="I219" s="99"/>
      <c r="J219" s="99"/>
      <c r="K219" s="99"/>
      <c r="L219" s="99"/>
      <c r="M219" s="99"/>
      <c r="N219" s="99"/>
      <c r="O219" s="99"/>
      <c r="P219" s="99"/>
      <c r="Q219" s="99"/>
      <c r="R219" s="99"/>
      <c r="S219" s="99"/>
      <c r="T219" s="99"/>
      <c r="U219" s="99"/>
      <c r="V219" s="99"/>
      <c r="W219" s="99"/>
      <c r="X219" s="99"/>
      <c r="Y219" s="99"/>
      <c r="Z219" s="99"/>
      <c r="AA219" s="99"/>
      <c r="AB219" s="99"/>
    </row>
    <row r="220" spans="1:28" s="74" customFormat="1">
      <c r="A220" s="3"/>
      <c r="I220" s="99"/>
      <c r="J220" s="99"/>
      <c r="K220" s="99"/>
      <c r="L220" s="99"/>
      <c r="M220" s="99"/>
      <c r="N220" s="99"/>
      <c r="O220" s="99"/>
      <c r="P220" s="99"/>
      <c r="Q220" s="99"/>
      <c r="R220" s="99"/>
      <c r="S220" s="99"/>
      <c r="T220" s="99"/>
      <c r="U220" s="99"/>
      <c r="V220" s="99"/>
      <c r="W220" s="99"/>
      <c r="X220" s="99"/>
      <c r="Y220" s="99"/>
      <c r="Z220" s="99"/>
      <c r="AA220" s="99"/>
      <c r="AB220" s="99"/>
    </row>
    <row r="221" spans="1:28" s="74" customFormat="1" ht="21.75" customHeight="1">
      <c r="A221" s="392" t="s">
        <v>594</v>
      </c>
      <c r="B221" s="392"/>
      <c r="C221" s="392"/>
      <c r="D221" s="392"/>
      <c r="E221" s="392"/>
      <c r="F221" s="392"/>
      <c r="G221" s="392"/>
      <c r="H221" s="392"/>
      <c r="I221" s="99"/>
      <c r="J221" s="99"/>
      <c r="K221" s="99"/>
      <c r="L221" s="99"/>
      <c r="M221" s="99"/>
      <c r="N221" s="99"/>
      <c r="O221" s="99"/>
      <c r="P221" s="99"/>
      <c r="Q221" s="99"/>
      <c r="R221" s="99"/>
      <c r="S221" s="99"/>
      <c r="T221" s="99"/>
      <c r="U221" s="99"/>
      <c r="V221" s="99"/>
      <c r="W221" s="99"/>
      <c r="X221" s="99"/>
      <c r="Y221" s="99"/>
      <c r="Z221" s="99"/>
      <c r="AA221" s="99"/>
      <c r="AB221" s="99"/>
    </row>
    <row r="222" spans="1:28" s="74" customFormat="1" ht="20.25" customHeight="1">
      <c r="A222" s="393" t="s">
        <v>606</v>
      </c>
      <c r="B222" s="393"/>
      <c r="C222" s="393"/>
      <c r="D222" s="393"/>
      <c r="E222" s="393"/>
      <c r="F222" s="393"/>
      <c r="G222" s="393"/>
      <c r="H222" s="393"/>
      <c r="I222" s="99"/>
      <c r="J222" s="99"/>
      <c r="K222" s="99"/>
      <c r="L222" s="99"/>
      <c r="M222" s="99"/>
      <c r="N222" s="99"/>
      <c r="O222" s="99"/>
      <c r="P222" s="99"/>
      <c r="Q222" s="99"/>
      <c r="R222" s="99"/>
      <c r="S222" s="99"/>
      <c r="T222" s="99"/>
      <c r="U222" s="99"/>
      <c r="V222" s="99"/>
      <c r="W222" s="99"/>
      <c r="X222" s="99"/>
      <c r="Y222" s="99"/>
      <c r="Z222" s="99"/>
      <c r="AA222" s="99"/>
      <c r="AB222" s="99"/>
    </row>
    <row r="223" spans="1:28" s="74" customFormat="1">
      <c r="A223" s="73"/>
      <c r="B223" s="73"/>
      <c r="I223" s="99"/>
      <c r="J223" s="99"/>
      <c r="K223" s="99"/>
      <c r="L223" s="99"/>
      <c r="M223" s="99"/>
      <c r="N223" s="99"/>
      <c r="O223" s="99"/>
      <c r="P223" s="99"/>
      <c r="Q223" s="99"/>
      <c r="R223" s="99"/>
      <c r="S223" s="99"/>
      <c r="T223" s="99"/>
      <c r="U223" s="99"/>
      <c r="V223" s="99"/>
      <c r="W223" s="99"/>
      <c r="X223" s="99"/>
      <c r="Y223" s="99"/>
      <c r="Z223" s="99"/>
      <c r="AA223" s="99"/>
      <c r="AB223" s="99"/>
    </row>
    <row r="224" spans="1:28" s="74" customFormat="1" ht="15" customHeight="1">
      <c r="A224" s="454" t="s">
        <v>507</v>
      </c>
      <c r="B224" s="455"/>
      <c r="I224" s="99"/>
      <c r="J224" s="99"/>
      <c r="K224" s="99"/>
      <c r="L224" s="99"/>
      <c r="M224" s="99"/>
      <c r="N224" s="99"/>
      <c r="O224" s="99"/>
      <c r="P224" s="99"/>
      <c r="Q224" s="99"/>
      <c r="R224" s="99"/>
      <c r="S224" s="99"/>
      <c r="T224" s="99"/>
      <c r="U224" s="99"/>
      <c r="V224" s="99"/>
      <c r="W224" s="99"/>
      <c r="X224" s="99"/>
      <c r="Y224" s="99"/>
      <c r="Z224" s="99"/>
      <c r="AA224" s="99"/>
      <c r="AB224" s="99"/>
    </row>
    <row r="225" spans="1:28" s="74" customFormat="1" ht="25.5">
      <c r="A225" s="78" t="s">
        <v>688</v>
      </c>
      <c r="B225" s="303">
        <v>3.375E-3</v>
      </c>
      <c r="I225" s="99"/>
      <c r="J225" s="99"/>
      <c r="K225" s="99"/>
      <c r="L225" s="99"/>
      <c r="M225" s="99"/>
      <c r="N225" s="99"/>
      <c r="O225" s="99"/>
      <c r="P225" s="99"/>
      <c r="Q225" s="99"/>
      <c r="R225" s="99"/>
      <c r="S225" s="99"/>
      <c r="T225" s="99"/>
      <c r="U225" s="99"/>
      <c r="V225" s="99"/>
      <c r="W225" s="99"/>
      <c r="X225" s="99"/>
      <c r="Y225" s="99"/>
      <c r="Z225" s="99"/>
      <c r="AA225" s="99"/>
      <c r="AB225" s="99"/>
    </row>
    <row r="226" spans="1:28" s="74" customFormat="1">
      <c r="I226" s="99"/>
      <c r="J226" s="99"/>
      <c r="K226" s="99"/>
      <c r="L226" s="99"/>
      <c r="M226" s="99"/>
      <c r="N226" s="99"/>
      <c r="O226" s="99"/>
      <c r="P226" s="99"/>
      <c r="Q226" s="99"/>
      <c r="R226" s="99"/>
      <c r="S226" s="99"/>
      <c r="T226" s="99"/>
      <c r="U226" s="99"/>
      <c r="V226" s="99"/>
      <c r="W226" s="99"/>
      <c r="X226" s="99"/>
      <c r="Y226" s="99"/>
      <c r="Z226" s="99"/>
      <c r="AA226" s="99"/>
      <c r="AB226" s="99"/>
    </row>
    <row r="227" spans="1:28" s="74" customFormat="1" ht="38.25">
      <c r="A227" s="16" t="s">
        <v>1248</v>
      </c>
      <c r="B227" s="16" t="s">
        <v>1249</v>
      </c>
      <c r="C227" s="17" t="s">
        <v>1247</v>
      </c>
      <c r="I227" s="99"/>
      <c r="J227" s="99"/>
      <c r="K227" s="99"/>
      <c r="L227" s="99"/>
      <c r="M227" s="99"/>
      <c r="N227" s="99"/>
      <c r="O227" s="99"/>
      <c r="P227" s="99"/>
      <c r="Q227" s="99"/>
      <c r="R227" s="99"/>
      <c r="S227" s="99"/>
      <c r="T227" s="99"/>
      <c r="U227" s="99"/>
      <c r="V227" s="99"/>
      <c r="W227" s="99"/>
      <c r="X227" s="99"/>
      <c r="Y227" s="99"/>
      <c r="Z227" s="99"/>
      <c r="AA227" s="99"/>
      <c r="AB227" s="99"/>
    </row>
    <row r="228" spans="1:28" s="74" customFormat="1" ht="38.25">
      <c r="A228" s="241" t="s">
        <v>1250</v>
      </c>
      <c r="B228" s="51">
        <v>2</v>
      </c>
      <c r="C228" s="51">
        <v>2</v>
      </c>
      <c r="I228" s="99"/>
      <c r="J228" s="99"/>
      <c r="K228" s="99"/>
      <c r="L228" s="99"/>
      <c r="M228" s="99"/>
      <c r="N228" s="99"/>
      <c r="O228" s="99"/>
      <c r="P228" s="99"/>
      <c r="Q228" s="99"/>
      <c r="R228" s="99"/>
      <c r="S228" s="99"/>
      <c r="T228" s="99"/>
      <c r="U228" s="99"/>
      <c r="V228" s="99"/>
      <c r="W228" s="99"/>
      <c r="X228" s="99"/>
      <c r="Y228" s="99"/>
      <c r="Z228" s="99"/>
      <c r="AA228" s="99"/>
      <c r="AB228" s="99"/>
    </row>
    <row r="229" spans="1:28" s="74" customFormat="1" ht="76.5">
      <c r="A229" s="220" t="s">
        <v>1251</v>
      </c>
      <c r="B229" s="51">
        <v>2</v>
      </c>
      <c r="C229" s="51">
        <v>4</v>
      </c>
      <c r="I229" s="99"/>
      <c r="J229" s="99"/>
      <c r="K229" s="99"/>
      <c r="L229" s="99"/>
      <c r="M229" s="99"/>
      <c r="N229" s="99"/>
      <c r="O229" s="99"/>
      <c r="P229" s="99"/>
      <c r="Q229" s="99"/>
      <c r="R229" s="99"/>
      <c r="S229" s="99"/>
      <c r="T229" s="99"/>
      <c r="U229" s="99"/>
      <c r="V229" s="99"/>
      <c r="W229" s="99"/>
      <c r="X229" s="99"/>
      <c r="Y229" s="99"/>
      <c r="Z229" s="99"/>
      <c r="AA229" s="99"/>
      <c r="AB229" s="99"/>
    </row>
    <row r="230" spans="1:28" s="74" customFormat="1" ht="38.25">
      <c r="A230" s="220" t="s">
        <v>1252</v>
      </c>
      <c r="B230" s="51">
        <v>2</v>
      </c>
      <c r="C230" s="51">
        <v>2</v>
      </c>
      <c r="I230" s="99"/>
      <c r="J230" s="99"/>
      <c r="K230" s="99"/>
      <c r="L230" s="99"/>
      <c r="M230" s="99"/>
      <c r="N230" s="99"/>
      <c r="O230" s="99"/>
      <c r="P230" s="99"/>
      <c r="Q230" s="99"/>
      <c r="R230" s="99"/>
      <c r="S230" s="99"/>
      <c r="T230" s="99"/>
      <c r="U230" s="99"/>
      <c r="V230" s="99"/>
      <c r="W230" s="99"/>
      <c r="X230" s="99"/>
      <c r="Y230" s="99"/>
      <c r="Z230" s="99"/>
      <c r="AA230" s="99"/>
      <c r="AB230" s="99"/>
    </row>
    <row r="231" spans="1:28" s="74" customFormat="1" ht="51">
      <c r="A231" s="241" t="s">
        <v>1253</v>
      </c>
      <c r="B231" s="51">
        <v>3</v>
      </c>
      <c r="C231" s="51">
        <v>4</v>
      </c>
      <c r="I231" s="99"/>
      <c r="J231" s="99"/>
      <c r="K231" s="99"/>
      <c r="L231" s="99"/>
      <c r="M231" s="99"/>
      <c r="N231" s="99"/>
      <c r="O231" s="99"/>
      <c r="P231" s="99"/>
      <c r="Q231" s="99"/>
      <c r="R231" s="99"/>
      <c r="S231" s="99"/>
      <c r="T231" s="99"/>
      <c r="U231" s="99"/>
      <c r="V231" s="99"/>
      <c r="W231" s="99"/>
      <c r="X231" s="99"/>
      <c r="Y231" s="99"/>
      <c r="Z231" s="99"/>
      <c r="AA231" s="99"/>
      <c r="AB231" s="99"/>
    </row>
    <row r="232" spans="1:28" s="74" customFormat="1">
      <c r="A232" s="24" t="s">
        <v>1254</v>
      </c>
      <c r="B232" s="24">
        <v>9</v>
      </c>
      <c r="C232" s="51">
        <f>SUM(C228:C231)</f>
        <v>12</v>
      </c>
      <c r="I232" s="99"/>
      <c r="J232" s="99"/>
      <c r="K232" s="99"/>
      <c r="L232" s="99"/>
      <c r="M232" s="99"/>
      <c r="N232" s="99"/>
      <c r="O232" s="99"/>
      <c r="P232" s="99"/>
      <c r="Q232" s="99"/>
      <c r="R232" s="99"/>
      <c r="S232" s="99"/>
      <c r="T232" s="99"/>
      <c r="U232" s="99"/>
      <c r="V232" s="99"/>
      <c r="W232" s="99"/>
      <c r="X232" s="99"/>
      <c r="Y232" s="99"/>
      <c r="Z232" s="99"/>
      <c r="AA232" s="99"/>
      <c r="AB232" s="99"/>
    </row>
    <row r="233" spans="1:28" s="74" customFormat="1">
      <c r="A233" s="24" t="s">
        <v>650</v>
      </c>
      <c r="B233" s="304">
        <f>B232*B225</f>
        <v>3.0374999999999999E-2</v>
      </c>
      <c r="C233" s="51"/>
      <c r="I233" s="99"/>
      <c r="J233" s="99"/>
      <c r="K233" s="99"/>
      <c r="L233" s="99"/>
      <c r="M233" s="99"/>
      <c r="N233" s="99"/>
      <c r="O233" s="99"/>
      <c r="P233" s="99"/>
      <c r="Q233" s="99"/>
      <c r="R233" s="99"/>
      <c r="S233" s="99"/>
      <c r="T233" s="99"/>
      <c r="U233" s="99"/>
      <c r="V233" s="99"/>
      <c r="W233" s="99"/>
      <c r="X233" s="99"/>
      <c r="Y233" s="99"/>
      <c r="Z233" s="99"/>
      <c r="AA233" s="99"/>
      <c r="AB233" s="99"/>
    </row>
    <row r="234" spans="1:28" s="74" customFormat="1">
      <c r="I234" s="99"/>
      <c r="J234" s="99"/>
      <c r="K234" s="99"/>
      <c r="L234" s="99"/>
      <c r="M234" s="99"/>
      <c r="N234" s="99"/>
      <c r="O234" s="99"/>
      <c r="P234" s="99"/>
      <c r="Q234" s="99"/>
      <c r="R234" s="99"/>
      <c r="S234" s="99"/>
      <c r="T234" s="99"/>
      <c r="U234" s="99"/>
      <c r="V234" s="99"/>
      <c r="W234" s="99"/>
      <c r="X234" s="99"/>
      <c r="Y234" s="99"/>
      <c r="Z234" s="99"/>
      <c r="AA234" s="99"/>
      <c r="AB234" s="99"/>
    </row>
    <row r="235" spans="1:28" s="74" customFormat="1">
      <c r="A235" s="3"/>
      <c r="I235" s="99"/>
      <c r="J235" s="99"/>
      <c r="K235" s="99"/>
      <c r="L235" s="99"/>
      <c r="M235" s="99"/>
      <c r="N235" s="99"/>
      <c r="O235" s="99"/>
      <c r="P235" s="99"/>
      <c r="Q235" s="99"/>
      <c r="R235" s="99"/>
      <c r="S235" s="99"/>
      <c r="T235" s="99"/>
      <c r="U235" s="99"/>
      <c r="V235" s="99"/>
      <c r="W235" s="99"/>
      <c r="X235" s="99"/>
      <c r="Y235" s="99"/>
      <c r="Z235" s="99"/>
      <c r="AA235" s="99"/>
      <c r="AB235" s="99"/>
    </row>
    <row r="236" spans="1:28" s="74" customFormat="1" ht="23.25" customHeight="1">
      <c r="A236" s="392" t="s">
        <v>595</v>
      </c>
      <c r="B236" s="392"/>
      <c r="C236" s="392"/>
      <c r="D236" s="392"/>
      <c r="E236" s="392"/>
      <c r="F236" s="392"/>
      <c r="G236" s="392"/>
      <c r="H236" s="392"/>
      <c r="I236" s="99"/>
      <c r="J236" s="99"/>
      <c r="K236" s="99"/>
      <c r="L236" s="99"/>
      <c r="M236" s="99"/>
      <c r="N236" s="99"/>
      <c r="O236" s="99"/>
      <c r="P236" s="99"/>
      <c r="Q236" s="99"/>
      <c r="R236" s="99"/>
      <c r="S236" s="99"/>
      <c r="T236" s="99"/>
      <c r="U236" s="99"/>
      <c r="V236" s="99"/>
      <c r="W236" s="99"/>
      <c r="X236" s="99"/>
      <c r="Y236" s="99"/>
      <c r="Z236" s="99"/>
      <c r="AA236" s="99"/>
      <c r="AB236" s="99"/>
    </row>
    <row r="237" spans="1:28" s="74" customFormat="1" ht="44.25" customHeight="1">
      <c r="A237" s="393" t="s">
        <v>689</v>
      </c>
      <c r="B237" s="393"/>
      <c r="C237" s="393"/>
      <c r="D237" s="393"/>
      <c r="E237" s="393"/>
      <c r="F237" s="393"/>
      <c r="G237" s="393"/>
      <c r="H237" s="393"/>
      <c r="I237" s="99"/>
      <c r="J237" s="99"/>
      <c r="K237" s="99"/>
      <c r="L237" s="99"/>
      <c r="M237" s="99"/>
      <c r="N237" s="99"/>
      <c r="O237" s="99"/>
      <c r="P237" s="99"/>
      <c r="Q237" s="99"/>
      <c r="R237" s="99"/>
      <c r="S237" s="99"/>
      <c r="T237" s="99"/>
      <c r="U237" s="99"/>
      <c r="V237" s="99"/>
      <c r="W237" s="99"/>
      <c r="X237" s="99"/>
      <c r="Y237" s="99"/>
      <c r="Z237" s="99"/>
      <c r="AA237" s="99"/>
      <c r="AB237" s="99"/>
    </row>
    <row r="238" spans="1:28" s="74" customFormat="1">
      <c r="A238" s="73"/>
      <c r="B238" s="73"/>
      <c r="I238" s="99"/>
      <c r="J238" s="99"/>
      <c r="K238" s="99"/>
      <c r="L238" s="99"/>
      <c r="M238" s="99"/>
      <c r="N238" s="99"/>
      <c r="O238" s="99"/>
      <c r="P238" s="99"/>
      <c r="Q238" s="99"/>
      <c r="R238" s="99"/>
      <c r="S238" s="99"/>
      <c r="T238" s="99"/>
      <c r="U238" s="99"/>
      <c r="V238" s="99"/>
      <c r="W238" s="99"/>
      <c r="X238" s="99"/>
      <c r="Y238" s="99"/>
      <c r="Z238" s="99"/>
      <c r="AA238" s="99"/>
      <c r="AB238" s="99"/>
    </row>
    <row r="239" spans="1:28" s="74" customFormat="1" ht="15" customHeight="1">
      <c r="A239" s="454" t="s">
        <v>507</v>
      </c>
      <c r="B239" s="455"/>
      <c r="I239" s="99"/>
      <c r="J239" s="99"/>
      <c r="K239" s="99"/>
      <c r="L239" s="99"/>
      <c r="M239" s="99"/>
      <c r="N239" s="99"/>
      <c r="O239" s="99"/>
      <c r="P239" s="99"/>
      <c r="Q239" s="99"/>
      <c r="R239" s="99"/>
      <c r="S239" s="99"/>
      <c r="T239" s="99"/>
      <c r="U239" s="99"/>
      <c r="V239" s="99"/>
      <c r="W239" s="99"/>
      <c r="X239" s="99"/>
      <c r="Y239" s="99"/>
      <c r="Z239" s="99"/>
      <c r="AA239" s="99"/>
      <c r="AB239" s="99"/>
    </row>
    <row r="240" spans="1:28" s="74" customFormat="1">
      <c r="A240" s="78" t="s">
        <v>596</v>
      </c>
      <c r="B240" s="303">
        <v>0.02</v>
      </c>
      <c r="I240" s="99"/>
      <c r="J240" s="99"/>
      <c r="K240" s="99"/>
      <c r="L240" s="99"/>
      <c r="M240" s="99"/>
      <c r="N240" s="99"/>
      <c r="O240" s="99"/>
      <c r="P240" s="99"/>
      <c r="Q240" s="99"/>
      <c r="R240" s="99"/>
      <c r="S240" s="99"/>
      <c r="T240" s="99"/>
      <c r="U240" s="99"/>
      <c r="V240" s="99"/>
      <c r="W240" s="99"/>
      <c r="X240" s="99"/>
      <c r="Y240" s="99"/>
      <c r="Z240" s="99"/>
      <c r="AA240" s="99"/>
      <c r="AB240" s="99"/>
    </row>
    <row r="241" spans="1:28" s="74" customFormat="1">
      <c r="I241" s="99"/>
      <c r="J241" s="99"/>
      <c r="K241" s="99"/>
      <c r="L241" s="99"/>
      <c r="M241" s="99"/>
      <c r="N241" s="99"/>
      <c r="O241" s="99"/>
      <c r="P241" s="99"/>
      <c r="Q241" s="99"/>
      <c r="R241" s="99"/>
      <c r="S241" s="99"/>
      <c r="T241" s="99"/>
      <c r="U241" s="99"/>
      <c r="V241" s="99"/>
      <c r="W241" s="99"/>
      <c r="X241" s="99"/>
      <c r="Y241" s="99"/>
      <c r="Z241" s="99"/>
      <c r="AA241" s="99"/>
      <c r="AB241" s="99"/>
    </row>
    <row r="242" spans="1:28" s="74" customFormat="1" ht="38.25">
      <c r="A242" s="16"/>
      <c r="B242" s="17" t="s">
        <v>1256</v>
      </c>
      <c r="C242" s="17" t="s">
        <v>1257</v>
      </c>
      <c r="I242" s="99"/>
      <c r="J242" s="99"/>
      <c r="K242" s="99"/>
      <c r="L242" s="99"/>
      <c r="M242" s="99"/>
      <c r="N242" s="99"/>
      <c r="O242" s="99"/>
      <c r="P242" s="99"/>
      <c r="Q242" s="99"/>
      <c r="R242" s="99"/>
      <c r="S242" s="99"/>
      <c r="T242" s="99"/>
      <c r="U242" s="99"/>
      <c r="V242" s="99"/>
      <c r="W242" s="99"/>
      <c r="X242" s="99"/>
      <c r="Y242" s="99"/>
      <c r="Z242" s="99"/>
      <c r="AA242" s="99"/>
      <c r="AB242" s="99"/>
    </row>
    <row r="243" spans="1:28" s="74" customFormat="1">
      <c r="A243" s="51" t="s">
        <v>654</v>
      </c>
      <c r="B243" s="213">
        <f>B142-C230</f>
        <v>18</v>
      </c>
      <c r="C243" s="305">
        <f t="shared" ref="C243:C246" si="0">B243*25%</f>
        <v>4.5</v>
      </c>
      <c r="I243" s="99"/>
      <c r="J243" s="99"/>
      <c r="K243" s="99"/>
      <c r="L243" s="99"/>
      <c r="M243" s="99"/>
      <c r="N243" s="99"/>
      <c r="O243" s="99"/>
      <c r="P243" s="99"/>
      <c r="Q243" s="99"/>
      <c r="R243" s="99"/>
      <c r="S243" s="99"/>
      <c r="T243" s="99"/>
      <c r="U243" s="99"/>
      <c r="V243" s="99"/>
      <c r="W243" s="99"/>
      <c r="X243" s="99"/>
      <c r="Y243" s="99"/>
      <c r="Z243" s="99"/>
      <c r="AA243" s="99"/>
      <c r="AB243" s="99"/>
    </row>
    <row r="244" spans="1:28" s="74" customFormat="1">
      <c r="A244" s="51" t="s">
        <v>653</v>
      </c>
      <c r="B244" s="213">
        <f>B112-C229</f>
        <v>43</v>
      </c>
      <c r="C244" s="305">
        <f t="shared" si="0"/>
        <v>10.75</v>
      </c>
      <c r="I244" s="99"/>
      <c r="J244" s="99"/>
      <c r="K244" s="99"/>
      <c r="L244" s="99"/>
      <c r="M244" s="99"/>
      <c r="N244" s="99"/>
      <c r="O244" s="99"/>
      <c r="P244" s="99"/>
      <c r="Q244" s="99"/>
      <c r="R244" s="99"/>
      <c r="S244" s="99"/>
      <c r="T244" s="99"/>
      <c r="U244" s="99"/>
      <c r="V244" s="99"/>
      <c r="W244" s="99"/>
      <c r="X244" s="99"/>
      <c r="Y244" s="99"/>
      <c r="Z244" s="99"/>
      <c r="AA244" s="99"/>
      <c r="AB244" s="99"/>
    </row>
    <row r="245" spans="1:28" s="74" customFormat="1">
      <c r="A245" s="51" t="s">
        <v>652</v>
      </c>
      <c r="B245" s="213">
        <f>B218-C228</f>
        <v>50</v>
      </c>
      <c r="C245" s="305">
        <f t="shared" si="0"/>
        <v>12.5</v>
      </c>
      <c r="I245" s="99"/>
      <c r="J245" s="99"/>
      <c r="K245" s="99"/>
      <c r="L245" s="99"/>
      <c r="M245" s="99"/>
      <c r="N245" s="99"/>
      <c r="O245" s="99"/>
      <c r="P245" s="99"/>
      <c r="Q245" s="99"/>
      <c r="R245" s="99"/>
      <c r="S245" s="99"/>
      <c r="T245" s="99"/>
      <c r="U245" s="99"/>
      <c r="V245" s="99"/>
      <c r="W245" s="99"/>
      <c r="X245" s="99"/>
      <c r="Y245" s="99"/>
      <c r="Z245" s="99"/>
      <c r="AA245" s="99"/>
      <c r="AB245" s="99"/>
    </row>
    <row r="246" spans="1:28" s="74" customFormat="1">
      <c r="A246" s="51" t="s">
        <v>1043</v>
      </c>
      <c r="B246" s="213">
        <f>B160-C231</f>
        <v>8</v>
      </c>
      <c r="C246" s="305">
        <f t="shared" si="0"/>
        <v>2</v>
      </c>
      <c r="I246" s="99"/>
      <c r="J246" s="99"/>
      <c r="K246" s="99"/>
      <c r="L246" s="99"/>
      <c r="M246" s="99"/>
      <c r="N246" s="99"/>
      <c r="O246" s="99"/>
      <c r="P246" s="99"/>
      <c r="Q246" s="99"/>
      <c r="R246" s="99"/>
      <c r="S246" s="99"/>
      <c r="T246" s="99"/>
      <c r="U246" s="99"/>
      <c r="V246" s="99"/>
      <c r="W246" s="99"/>
      <c r="X246" s="99"/>
      <c r="Y246" s="99"/>
      <c r="Z246" s="99"/>
      <c r="AA246" s="99"/>
      <c r="AB246" s="99"/>
    </row>
    <row r="247" spans="1:28" s="74" customFormat="1">
      <c r="A247" s="24" t="s">
        <v>1255</v>
      </c>
      <c r="B247" s="24">
        <f>SUM(B243:B246)</f>
        <v>119</v>
      </c>
      <c r="C247" s="29">
        <f>B247*25%</f>
        <v>29.75</v>
      </c>
      <c r="I247" s="99"/>
      <c r="J247" s="99"/>
      <c r="K247" s="99"/>
      <c r="L247" s="99"/>
      <c r="M247" s="99"/>
      <c r="N247" s="99"/>
      <c r="O247" s="99"/>
      <c r="P247" s="99"/>
      <c r="Q247" s="99"/>
      <c r="R247" s="99"/>
      <c r="S247" s="99"/>
      <c r="T247" s="99"/>
      <c r="U247" s="99"/>
      <c r="V247" s="99"/>
      <c r="W247" s="99"/>
      <c r="X247" s="99"/>
      <c r="Y247" s="99"/>
      <c r="Z247" s="99"/>
      <c r="AA247" s="99"/>
      <c r="AB247" s="99"/>
    </row>
    <row r="249" spans="1:28" s="74" customFormat="1" ht="38.25">
      <c r="A249" s="306"/>
      <c r="B249" s="333" t="s">
        <v>652</v>
      </c>
      <c r="C249" s="333" t="s">
        <v>653</v>
      </c>
      <c r="D249" s="334" t="s">
        <v>1114</v>
      </c>
      <c r="E249" s="333" t="s">
        <v>1043</v>
      </c>
      <c r="F249" s="334" t="s">
        <v>15</v>
      </c>
      <c r="G249" s="335" t="s">
        <v>622</v>
      </c>
      <c r="H249" s="335" t="s">
        <v>620</v>
      </c>
      <c r="I249" s="17" t="s">
        <v>621</v>
      </c>
      <c r="J249" s="17" t="s">
        <v>623</v>
      </c>
      <c r="K249" s="99"/>
      <c r="L249" s="99"/>
      <c r="M249" s="99"/>
      <c r="N249" s="99"/>
      <c r="O249" s="99"/>
      <c r="P249" s="99"/>
      <c r="Q249" s="99"/>
      <c r="R249" s="99"/>
      <c r="S249" s="99"/>
      <c r="T249" s="99"/>
      <c r="U249" s="99"/>
      <c r="V249" s="99"/>
      <c r="W249" s="99"/>
      <c r="X249" s="99"/>
      <c r="Y249" s="99"/>
      <c r="Z249" s="99"/>
      <c r="AA249" s="99"/>
      <c r="AB249" s="99"/>
    </row>
    <row r="250" spans="1:28" s="74" customFormat="1" ht="25.5">
      <c r="A250" s="307" t="s">
        <v>1258</v>
      </c>
      <c r="B250" s="308">
        <v>19</v>
      </c>
      <c r="C250" s="307">
        <v>39</v>
      </c>
      <c r="D250" s="308">
        <v>11</v>
      </c>
      <c r="E250" s="308">
        <v>10</v>
      </c>
      <c r="F250" s="51">
        <f>SUM(B250:E250)</f>
        <v>79</v>
      </c>
      <c r="G250" s="51">
        <f>F250*50%</f>
        <v>39.5</v>
      </c>
      <c r="H250" s="51">
        <f>F250*20%</f>
        <v>15.8</v>
      </c>
      <c r="I250" s="213">
        <f>F250*10%</f>
        <v>7.9</v>
      </c>
      <c r="J250" s="213">
        <f>F250*5%</f>
        <v>3.95</v>
      </c>
      <c r="K250" s="99"/>
      <c r="L250" s="99"/>
      <c r="M250" s="99"/>
      <c r="N250" s="99"/>
      <c r="O250" s="99"/>
      <c r="P250" s="99"/>
      <c r="Q250" s="99"/>
      <c r="R250" s="99"/>
      <c r="S250" s="99"/>
      <c r="T250" s="99"/>
      <c r="U250" s="99"/>
      <c r="V250" s="99"/>
      <c r="W250" s="99"/>
      <c r="X250" s="99"/>
      <c r="Y250" s="99"/>
      <c r="Z250" s="99"/>
      <c r="AA250" s="99"/>
      <c r="AB250" s="99"/>
    </row>
    <row r="251" spans="1:28" s="74" customFormat="1" ht="38.25">
      <c r="A251" s="307" t="s">
        <v>1260</v>
      </c>
      <c r="B251" s="308" t="s">
        <v>626</v>
      </c>
      <c r="C251" s="307">
        <v>5</v>
      </c>
      <c r="D251" s="308">
        <v>0</v>
      </c>
      <c r="E251" s="308">
        <v>3</v>
      </c>
      <c r="F251" s="51">
        <f>SUM(B251:E251)</f>
        <v>8</v>
      </c>
      <c r="G251" s="51">
        <f>F251*50%</f>
        <v>4</v>
      </c>
      <c r="H251" s="51">
        <f>F251*20%</f>
        <v>1.6</v>
      </c>
      <c r="I251" s="213">
        <f>F251*10%</f>
        <v>0.8</v>
      </c>
      <c r="J251" s="213">
        <f>F251*5%</f>
        <v>0.4</v>
      </c>
      <c r="K251" s="99"/>
      <c r="L251" s="99"/>
      <c r="M251" s="99"/>
      <c r="N251" s="99"/>
      <c r="O251" s="99"/>
      <c r="P251" s="99"/>
      <c r="Q251" s="99"/>
      <c r="R251" s="99"/>
      <c r="S251" s="99"/>
      <c r="T251" s="99"/>
      <c r="U251" s="99"/>
      <c r="V251" s="99"/>
      <c r="W251" s="99"/>
      <c r="X251" s="99"/>
      <c r="Y251" s="99"/>
      <c r="Z251" s="99"/>
      <c r="AA251" s="99"/>
      <c r="AB251" s="99"/>
    </row>
    <row r="252" spans="1:28" s="74" customFormat="1">
      <c r="A252" s="308" t="s">
        <v>1259</v>
      </c>
      <c r="B252" s="308">
        <v>26</v>
      </c>
      <c r="C252" s="307">
        <v>27</v>
      </c>
      <c r="D252" s="308">
        <v>13</v>
      </c>
      <c r="E252" s="308">
        <v>12</v>
      </c>
      <c r="F252" s="51">
        <f>SUM(B252:E252)</f>
        <v>78</v>
      </c>
      <c r="G252" s="51">
        <f>F252*50%</f>
        <v>39</v>
      </c>
      <c r="H252" s="51">
        <f>F252*20%</f>
        <v>15.600000000000001</v>
      </c>
      <c r="I252" s="213">
        <f>F252*10%</f>
        <v>7.8000000000000007</v>
      </c>
      <c r="J252" s="213">
        <f>F252*5%</f>
        <v>3.9000000000000004</v>
      </c>
      <c r="K252" s="99"/>
      <c r="L252" s="99"/>
      <c r="M252" s="99"/>
      <c r="N252" s="99"/>
      <c r="O252" s="99"/>
      <c r="P252" s="99"/>
      <c r="Q252" s="99"/>
      <c r="R252" s="99"/>
      <c r="S252" s="99"/>
      <c r="T252" s="99"/>
      <c r="U252" s="99"/>
      <c r="V252" s="99"/>
      <c r="W252" s="99"/>
      <c r="X252" s="99"/>
      <c r="Y252" s="99"/>
      <c r="Z252" s="99"/>
      <c r="AA252" s="99"/>
      <c r="AB252" s="99"/>
    </row>
    <row r="253" spans="1:28" s="74" customFormat="1" ht="25.5">
      <c r="A253" s="307" t="s">
        <v>1322</v>
      </c>
      <c r="B253" s="308" t="s">
        <v>626</v>
      </c>
      <c r="C253" s="307">
        <v>5</v>
      </c>
      <c r="D253" s="309">
        <v>1</v>
      </c>
      <c r="E253" s="308">
        <v>2</v>
      </c>
      <c r="F253" s="51">
        <f>SUM(B253:E253)</f>
        <v>8</v>
      </c>
      <c r="G253" s="51">
        <f>F253*50%</f>
        <v>4</v>
      </c>
      <c r="H253" s="51">
        <f>F253*20%</f>
        <v>1.6</v>
      </c>
      <c r="I253" s="213">
        <f>F253*10%</f>
        <v>0.8</v>
      </c>
      <c r="J253" s="213">
        <f>F253*5%</f>
        <v>0.4</v>
      </c>
      <c r="K253" s="99"/>
      <c r="L253" s="99"/>
      <c r="M253" s="99"/>
      <c r="N253" s="99"/>
      <c r="O253" s="99"/>
      <c r="P253" s="99"/>
      <c r="Q253" s="99"/>
      <c r="R253" s="99"/>
      <c r="S253" s="99"/>
      <c r="T253" s="99"/>
      <c r="U253" s="99"/>
      <c r="V253" s="99"/>
      <c r="W253" s="99"/>
      <c r="X253" s="99"/>
      <c r="Y253" s="99"/>
      <c r="Z253" s="99"/>
      <c r="AA253" s="99"/>
      <c r="AB253" s="99"/>
    </row>
    <row r="254" spans="1:28" s="74" customFormat="1">
      <c r="A254" s="330" t="s">
        <v>1261</v>
      </c>
      <c r="B254" s="24"/>
      <c r="C254" s="331"/>
      <c r="D254" s="24"/>
      <c r="E254" s="76"/>
      <c r="F254" s="24">
        <v>3.2749999999999999</v>
      </c>
      <c r="G254" s="24">
        <f>F254*50%</f>
        <v>1.6375</v>
      </c>
      <c r="H254" s="24">
        <f>F254*20%</f>
        <v>0.65500000000000003</v>
      </c>
      <c r="I254" s="332">
        <f>F254*10%</f>
        <v>0.32750000000000001</v>
      </c>
      <c r="J254" s="332">
        <f>F254*5%</f>
        <v>0.16375000000000001</v>
      </c>
      <c r="K254" s="99"/>
      <c r="L254" s="99"/>
      <c r="M254" s="99"/>
      <c r="N254" s="99"/>
      <c r="O254" s="99"/>
      <c r="P254" s="99"/>
      <c r="Q254" s="99"/>
      <c r="R254" s="99"/>
      <c r="S254" s="99"/>
      <c r="T254" s="99"/>
      <c r="U254" s="99"/>
      <c r="V254" s="99"/>
      <c r="W254" s="99"/>
      <c r="X254" s="99"/>
      <c r="Y254" s="99"/>
      <c r="Z254" s="99"/>
      <c r="AA254" s="99"/>
      <c r="AB254" s="99"/>
    </row>
  </sheetData>
  <sheetProtection password="8725" sheet="1" objects="1" scenarios="1"/>
  <mergeCells count="38">
    <mergeCell ref="A239:B239"/>
    <mergeCell ref="A162:A163"/>
    <mergeCell ref="A167:A168"/>
    <mergeCell ref="A192:A193"/>
    <mergeCell ref="A201:A202"/>
    <mergeCell ref="A224:B224"/>
    <mergeCell ref="A221:H221"/>
    <mergeCell ref="A222:H222"/>
    <mergeCell ref="A236:H236"/>
    <mergeCell ref="A237:H237"/>
    <mergeCell ref="A156:A157"/>
    <mergeCell ref="A100:A102"/>
    <mergeCell ref="A103:A105"/>
    <mergeCell ref="A106:A108"/>
    <mergeCell ref="A124:A125"/>
    <mergeCell ref="A126:A129"/>
    <mergeCell ref="A130:A133"/>
    <mergeCell ref="A122:A123"/>
    <mergeCell ref="A147:A148"/>
    <mergeCell ref="A152:A153"/>
    <mergeCell ref="A154:A155"/>
    <mergeCell ref="A18:H18"/>
    <mergeCell ref="A2:H2"/>
    <mergeCell ref="A5:H5"/>
    <mergeCell ref="A9:H9"/>
    <mergeCell ref="A15:H15"/>
    <mergeCell ref="A17:H17"/>
    <mergeCell ref="A43:H43"/>
    <mergeCell ref="A20:H20"/>
    <mergeCell ref="A29:H29"/>
    <mergeCell ref="A35:H35"/>
    <mergeCell ref="A97:A99"/>
    <mergeCell ref="A80:A82"/>
    <mergeCell ref="A84:A86"/>
    <mergeCell ref="A87:A89"/>
    <mergeCell ref="A90:A92"/>
    <mergeCell ref="A94:A96"/>
    <mergeCell ref="A45:H45"/>
  </mergeCells>
  <pageMargins left="0.7" right="0.7" top="0.75" bottom="0.75" header="0.3" footer="0.3"/>
  <pageSetup orientation="landscape" r:id="rId1"/>
</worksheet>
</file>

<file path=xl/worksheets/sheet8.xml><?xml version="1.0" encoding="utf-8"?>
<worksheet xmlns="http://schemas.openxmlformats.org/spreadsheetml/2006/main" xmlns:r="http://schemas.openxmlformats.org/officeDocument/2006/relationships">
  <dimension ref="A1:AT142"/>
  <sheetViews>
    <sheetView zoomScale="85" zoomScaleNormal="85" workbookViewId="0">
      <selection activeCell="K17" sqref="K17"/>
    </sheetView>
  </sheetViews>
  <sheetFormatPr defaultRowHeight="12.75"/>
  <cols>
    <col min="1" max="1" width="47.140625" style="74" customWidth="1"/>
    <col min="2" max="2" width="5.5703125" style="74" customWidth="1"/>
    <col min="3" max="3" width="6.140625" style="74" customWidth="1"/>
    <col min="4" max="4" width="5.5703125" style="74" customWidth="1"/>
    <col min="5" max="5" width="6.5703125" style="74" bestFit="1" customWidth="1"/>
    <col min="6" max="6" width="5.7109375" style="74" bestFit="1" customWidth="1"/>
    <col min="7" max="7" width="6.5703125" style="74" bestFit="1" customWidth="1"/>
    <col min="8" max="8" width="5.7109375" style="74" bestFit="1" customWidth="1"/>
    <col min="9" max="9" width="6.5703125" style="74" bestFit="1" customWidth="1"/>
    <col min="10" max="10" width="5.7109375" style="74" bestFit="1" customWidth="1"/>
    <col min="11" max="11" width="6.5703125" style="74" bestFit="1" customWidth="1"/>
    <col min="12" max="12" width="5.7109375" style="74" bestFit="1" customWidth="1"/>
    <col min="13" max="13" width="6.5703125" style="74" bestFit="1" customWidth="1"/>
    <col min="14" max="14" width="5.7109375" style="74" bestFit="1" customWidth="1"/>
    <col min="15" max="15" width="6.5703125" style="74" bestFit="1" customWidth="1"/>
    <col min="16" max="16" width="5.7109375" style="74" bestFit="1" customWidth="1"/>
    <col min="17" max="17" width="6.5703125" style="74" bestFit="1" customWidth="1"/>
    <col min="18" max="18" width="5.7109375" style="74" bestFit="1" customWidth="1"/>
    <col min="19" max="19" width="6.5703125" style="74" bestFit="1" customWidth="1"/>
    <col min="20" max="20" width="5.7109375" style="74" bestFit="1" customWidth="1"/>
    <col min="21" max="21" width="6.5703125" style="74" bestFit="1" customWidth="1"/>
    <col min="22" max="22" width="5.7109375" style="74" bestFit="1" customWidth="1"/>
    <col min="23" max="23" width="6.5703125" style="74" bestFit="1" customWidth="1"/>
    <col min="24" max="24" width="5.7109375" style="74" bestFit="1" customWidth="1"/>
    <col min="25" max="25" width="6.5703125" style="74" bestFit="1" customWidth="1"/>
    <col min="26" max="26" width="5.7109375" style="74" bestFit="1" customWidth="1"/>
    <col min="27" max="27" width="6.5703125" style="74" bestFit="1" customWidth="1"/>
    <col min="28" max="28" width="5.7109375" style="74" bestFit="1" customWidth="1"/>
    <col min="29" max="29" width="6.5703125" style="74" bestFit="1" customWidth="1"/>
    <col min="30" max="30" width="5.7109375" style="74" bestFit="1" customWidth="1"/>
    <col min="31" max="31" width="6.5703125" style="74" bestFit="1" customWidth="1"/>
    <col min="32" max="32" width="5.7109375" style="74" bestFit="1" customWidth="1"/>
    <col min="33" max="33" width="6.5703125" style="74" bestFit="1" customWidth="1"/>
    <col min="34" max="34" width="5.7109375" style="74" bestFit="1" customWidth="1"/>
    <col min="35" max="35" width="6.5703125" style="74" bestFit="1" customWidth="1"/>
    <col min="36" max="36" width="5.7109375" style="74" bestFit="1" customWidth="1"/>
    <col min="37" max="37" width="6.5703125" style="74" bestFit="1" customWidth="1"/>
    <col min="38" max="38" width="5.7109375" style="74" bestFit="1" customWidth="1"/>
    <col min="39" max="39" width="6.5703125" style="74" bestFit="1" customWidth="1"/>
    <col min="40" max="40" width="5.7109375" style="74" bestFit="1" customWidth="1"/>
    <col min="41" max="41" width="6.5703125" style="74" bestFit="1" customWidth="1"/>
    <col min="42" max="42" width="7.7109375" style="74" customWidth="1"/>
    <col min="43" max="43" width="10.42578125" style="74" customWidth="1"/>
    <col min="44" max="44" width="6.85546875" style="74" bestFit="1" customWidth="1"/>
    <col min="45" max="45" width="7.7109375" style="74" bestFit="1" customWidth="1"/>
    <col min="46" max="16384" width="9.140625" style="74"/>
  </cols>
  <sheetData>
    <row r="1" spans="1:45" s="348" customFormat="1" ht="26.25" customHeight="1">
      <c r="A1" s="119" t="s">
        <v>1384</v>
      </c>
      <c r="B1" s="120"/>
      <c r="C1" s="120"/>
      <c r="D1" s="120"/>
      <c r="E1" s="120"/>
      <c r="F1" s="120"/>
      <c r="G1" s="120"/>
      <c r="H1" s="120"/>
      <c r="I1" s="120"/>
      <c r="J1" s="120"/>
      <c r="K1" s="120"/>
      <c r="L1" s="120"/>
      <c r="M1" s="120"/>
      <c r="N1" s="120"/>
      <c r="O1" s="120"/>
      <c r="P1" s="120"/>
      <c r="Q1" s="120"/>
      <c r="R1" s="120"/>
      <c r="S1" s="120"/>
      <c r="T1" s="120"/>
      <c r="U1" s="120"/>
      <c r="V1" s="120"/>
      <c r="W1" s="120"/>
    </row>
    <row r="2" spans="1:45">
      <c r="A2" s="336"/>
    </row>
    <row r="3" spans="1:45">
      <c r="A3" s="74" t="s">
        <v>162</v>
      </c>
    </row>
    <row r="4" spans="1:45" ht="29.25" customHeight="1">
      <c r="A4" s="393" t="s">
        <v>13</v>
      </c>
      <c r="B4" s="393"/>
      <c r="C4" s="393"/>
      <c r="D4" s="393"/>
      <c r="E4" s="393"/>
      <c r="F4" s="393"/>
      <c r="G4" s="393"/>
      <c r="H4" s="393"/>
      <c r="I4" s="393"/>
      <c r="J4" s="393"/>
      <c r="K4" s="393"/>
      <c r="L4" s="393"/>
      <c r="M4" s="393"/>
      <c r="N4" s="393"/>
      <c r="O4" s="393"/>
      <c r="P4" s="393"/>
      <c r="Q4" s="393"/>
      <c r="R4" s="393"/>
      <c r="S4" s="393"/>
    </row>
    <row r="5" spans="1:45" ht="13.5" thickBot="1">
      <c r="A5" s="337"/>
      <c r="B5" s="81"/>
      <c r="C5" s="81"/>
      <c r="D5" s="81"/>
      <c r="E5" s="81"/>
      <c r="F5" s="81"/>
      <c r="G5" s="81"/>
      <c r="H5" s="81"/>
      <c r="I5" s="81"/>
      <c r="J5" s="81"/>
      <c r="K5" s="81"/>
      <c r="L5" s="81"/>
      <c r="M5" s="81"/>
      <c r="N5" s="81"/>
      <c r="O5" s="81"/>
      <c r="P5" s="81"/>
      <c r="Q5" s="81"/>
      <c r="R5" s="81"/>
      <c r="S5" s="81"/>
    </row>
    <row r="6" spans="1:45" ht="15" customHeight="1">
      <c r="A6" s="358" t="s">
        <v>14</v>
      </c>
      <c r="B6" s="457">
        <v>2013</v>
      </c>
      <c r="C6" s="458"/>
      <c r="D6" s="457">
        <f>B6+1</f>
        <v>2014</v>
      </c>
      <c r="E6" s="458"/>
      <c r="F6" s="457">
        <f>D6+1</f>
        <v>2015</v>
      </c>
      <c r="G6" s="458"/>
      <c r="H6" s="457">
        <f>F6+1</f>
        <v>2016</v>
      </c>
      <c r="I6" s="458"/>
      <c r="J6" s="457">
        <f>H6+1</f>
        <v>2017</v>
      </c>
      <c r="K6" s="458"/>
      <c r="L6" s="457">
        <f>J6+1</f>
        <v>2018</v>
      </c>
      <c r="M6" s="458"/>
      <c r="N6" s="457">
        <f>L6+1</f>
        <v>2019</v>
      </c>
      <c r="O6" s="458"/>
      <c r="P6" s="457">
        <f>N6+1</f>
        <v>2020</v>
      </c>
      <c r="Q6" s="458"/>
      <c r="R6" s="457">
        <f>P6+1</f>
        <v>2021</v>
      </c>
      <c r="S6" s="458"/>
      <c r="T6" s="457">
        <f>R6+1</f>
        <v>2022</v>
      </c>
      <c r="U6" s="457"/>
      <c r="V6" s="457">
        <f>T6+1</f>
        <v>2023</v>
      </c>
      <c r="W6" s="457"/>
      <c r="X6" s="457">
        <f>V6+1</f>
        <v>2024</v>
      </c>
      <c r="Y6" s="457"/>
      <c r="Z6" s="457">
        <f>X6+1</f>
        <v>2025</v>
      </c>
      <c r="AA6" s="457"/>
      <c r="AB6" s="457">
        <f>Z6+1</f>
        <v>2026</v>
      </c>
      <c r="AC6" s="457"/>
      <c r="AD6" s="457">
        <f>AB6+1</f>
        <v>2027</v>
      </c>
      <c r="AE6" s="457"/>
      <c r="AF6" s="457">
        <f>AD6+1</f>
        <v>2028</v>
      </c>
      <c r="AG6" s="457"/>
      <c r="AH6" s="457">
        <f>AF6+1</f>
        <v>2029</v>
      </c>
      <c r="AI6" s="457"/>
      <c r="AJ6" s="457">
        <f>AH6+1</f>
        <v>2030</v>
      </c>
      <c r="AK6" s="457"/>
      <c r="AL6" s="457">
        <f>AJ6+1</f>
        <v>2031</v>
      </c>
      <c r="AM6" s="457"/>
      <c r="AN6" s="457">
        <f>AL6+1</f>
        <v>2032</v>
      </c>
      <c r="AO6" s="457"/>
      <c r="AP6" s="459" t="s">
        <v>15</v>
      </c>
      <c r="AQ6" s="460"/>
      <c r="AR6" s="463" t="s">
        <v>618</v>
      </c>
      <c r="AS6" s="464"/>
    </row>
    <row r="7" spans="1:45">
      <c r="A7" s="359" t="s">
        <v>1052</v>
      </c>
      <c r="B7" s="456">
        <v>1</v>
      </c>
      <c r="C7" s="456"/>
      <c r="D7" s="456">
        <v>2</v>
      </c>
      <c r="E7" s="456"/>
      <c r="F7" s="456">
        <v>3</v>
      </c>
      <c r="G7" s="456"/>
      <c r="H7" s="456">
        <v>4</v>
      </c>
      <c r="I7" s="456"/>
      <c r="J7" s="456">
        <v>5</v>
      </c>
      <c r="K7" s="456"/>
      <c r="L7" s="456">
        <v>6</v>
      </c>
      <c r="M7" s="456"/>
      <c r="N7" s="456">
        <v>7</v>
      </c>
      <c r="O7" s="456"/>
      <c r="P7" s="456">
        <v>8</v>
      </c>
      <c r="Q7" s="456"/>
      <c r="R7" s="456">
        <v>9</v>
      </c>
      <c r="S7" s="456"/>
      <c r="T7" s="456">
        <v>10</v>
      </c>
      <c r="U7" s="456"/>
      <c r="V7" s="456">
        <v>11</v>
      </c>
      <c r="W7" s="456"/>
      <c r="X7" s="456">
        <v>12</v>
      </c>
      <c r="Y7" s="456"/>
      <c r="Z7" s="456">
        <v>13</v>
      </c>
      <c r="AA7" s="456"/>
      <c r="AB7" s="456">
        <v>14</v>
      </c>
      <c r="AC7" s="456"/>
      <c r="AD7" s="456">
        <v>15</v>
      </c>
      <c r="AE7" s="456"/>
      <c r="AF7" s="456">
        <v>16</v>
      </c>
      <c r="AG7" s="456"/>
      <c r="AH7" s="456">
        <v>17</v>
      </c>
      <c r="AI7" s="456"/>
      <c r="AJ7" s="456">
        <v>18</v>
      </c>
      <c r="AK7" s="456"/>
      <c r="AL7" s="456">
        <v>19</v>
      </c>
      <c r="AM7" s="456"/>
      <c r="AN7" s="456">
        <v>20</v>
      </c>
      <c r="AO7" s="456"/>
      <c r="AP7" s="461"/>
      <c r="AQ7" s="462"/>
      <c r="AR7" s="465"/>
      <c r="AS7" s="466"/>
    </row>
    <row r="8" spans="1:45" ht="13.5" thickBot="1">
      <c r="A8" s="360" t="s">
        <v>619</v>
      </c>
      <c r="B8" s="144" t="s">
        <v>667</v>
      </c>
      <c r="C8" s="144" t="s">
        <v>668</v>
      </c>
      <c r="D8" s="144" t="s">
        <v>667</v>
      </c>
      <c r="E8" s="144" t="s">
        <v>668</v>
      </c>
      <c r="F8" s="144" t="s">
        <v>667</v>
      </c>
      <c r="G8" s="144" t="s">
        <v>668</v>
      </c>
      <c r="H8" s="144" t="s">
        <v>667</v>
      </c>
      <c r="I8" s="144" t="s">
        <v>668</v>
      </c>
      <c r="J8" s="144" t="s">
        <v>667</v>
      </c>
      <c r="K8" s="144" t="s">
        <v>668</v>
      </c>
      <c r="L8" s="144" t="s">
        <v>667</v>
      </c>
      <c r="M8" s="144" t="s">
        <v>668</v>
      </c>
      <c r="N8" s="144" t="s">
        <v>667</v>
      </c>
      <c r="O8" s="144" t="s">
        <v>668</v>
      </c>
      <c r="P8" s="144" t="s">
        <v>667</v>
      </c>
      <c r="Q8" s="144" t="s">
        <v>668</v>
      </c>
      <c r="R8" s="144" t="s">
        <v>667</v>
      </c>
      <c r="S8" s="144" t="s">
        <v>668</v>
      </c>
      <c r="T8" s="144" t="s">
        <v>667</v>
      </c>
      <c r="U8" s="144" t="s">
        <v>668</v>
      </c>
      <c r="V8" s="144" t="s">
        <v>667</v>
      </c>
      <c r="W8" s="144" t="s">
        <v>668</v>
      </c>
      <c r="X8" s="144" t="s">
        <v>667</v>
      </c>
      <c r="Y8" s="144" t="s">
        <v>668</v>
      </c>
      <c r="Z8" s="144" t="s">
        <v>667</v>
      </c>
      <c r="AA8" s="144" t="s">
        <v>668</v>
      </c>
      <c r="AB8" s="144" t="s">
        <v>667</v>
      </c>
      <c r="AC8" s="144" t="s">
        <v>668</v>
      </c>
      <c r="AD8" s="144" t="s">
        <v>667</v>
      </c>
      <c r="AE8" s="144" t="s">
        <v>668</v>
      </c>
      <c r="AF8" s="144" t="s">
        <v>667</v>
      </c>
      <c r="AG8" s="144" t="s">
        <v>668</v>
      </c>
      <c r="AH8" s="144" t="s">
        <v>667</v>
      </c>
      <c r="AI8" s="144" t="s">
        <v>668</v>
      </c>
      <c r="AJ8" s="144" t="s">
        <v>667</v>
      </c>
      <c r="AK8" s="144" t="s">
        <v>668</v>
      </c>
      <c r="AL8" s="144" t="s">
        <v>667</v>
      </c>
      <c r="AM8" s="144" t="s">
        <v>668</v>
      </c>
      <c r="AN8" s="144" t="s">
        <v>667</v>
      </c>
      <c r="AO8" s="144" t="s">
        <v>668</v>
      </c>
      <c r="AP8" s="356" t="s">
        <v>667</v>
      </c>
      <c r="AQ8" s="357" t="s">
        <v>668</v>
      </c>
      <c r="AR8" s="144" t="s">
        <v>667</v>
      </c>
      <c r="AS8" s="357" t="s">
        <v>668</v>
      </c>
    </row>
    <row r="9" spans="1:45">
      <c r="A9" s="81"/>
      <c r="B9" s="338"/>
      <c r="C9" s="338"/>
      <c r="D9" s="338"/>
      <c r="E9" s="338"/>
      <c r="F9" s="338"/>
      <c r="G9" s="338"/>
      <c r="H9" s="338"/>
      <c r="I9" s="338"/>
      <c r="J9" s="338"/>
      <c r="K9" s="338"/>
      <c r="L9" s="338"/>
      <c r="M9" s="338"/>
      <c r="N9" s="338"/>
      <c r="O9" s="338"/>
      <c r="P9" s="338"/>
      <c r="Q9" s="338"/>
      <c r="R9" s="338"/>
      <c r="S9" s="338"/>
      <c r="T9" s="338"/>
      <c r="U9" s="338"/>
      <c r="V9" s="338"/>
      <c r="W9" s="338"/>
      <c r="X9" s="339"/>
      <c r="Y9" s="339"/>
      <c r="Z9" s="339"/>
      <c r="AA9" s="338"/>
      <c r="AB9" s="338"/>
      <c r="AC9" s="338"/>
      <c r="AD9" s="338"/>
      <c r="AE9" s="338"/>
      <c r="AF9" s="338"/>
      <c r="AG9" s="338"/>
      <c r="AH9" s="338"/>
      <c r="AI9" s="338"/>
      <c r="AJ9" s="338"/>
      <c r="AK9" s="338"/>
      <c r="AL9" s="338"/>
      <c r="AM9" s="338"/>
      <c r="AN9" s="338"/>
      <c r="AO9" s="338"/>
      <c r="AP9" s="297"/>
      <c r="AQ9" s="267"/>
      <c r="AR9" s="267"/>
      <c r="AS9" s="340"/>
    </row>
    <row r="10" spans="1:45">
      <c r="A10" s="8" t="s">
        <v>1263</v>
      </c>
      <c r="B10" s="338"/>
      <c r="C10" s="338"/>
      <c r="D10" s="338"/>
      <c r="E10" s="338"/>
      <c r="F10" s="338"/>
      <c r="G10" s="338"/>
      <c r="H10" s="338"/>
      <c r="I10" s="338"/>
      <c r="J10" s="338"/>
      <c r="K10" s="338"/>
      <c r="L10" s="338"/>
      <c r="M10" s="338"/>
      <c r="N10" s="338"/>
      <c r="O10" s="338"/>
      <c r="P10" s="338"/>
      <c r="Q10" s="338"/>
      <c r="R10" s="338"/>
      <c r="S10" s="338"/>
      <c r="T10" s="338"/>
      <c r="U10" s="338"/>
      <c r="V10" s="338"/>
      <c r="W10" s="338"/>
      <c r="X10" s="339"/>
      <c r="Y10" s="339"/>
      <c r="Z10" s="339"/>
      <c r="AA10" s="338"/>
      <c r="AB10" s="338"/>
      <c r="AC10" s="338"/>
      <c r="AD10" s="338"/>
      <c r="AE10" s="338"/>
      <c r="AF10" s="338"/>
      <c r="AG10" s="338"/>
      <c r="AH10" s="338"/>
      <c r="AI10" s="338"/>
      <c r="AJ10" s="338"/>
      <c r="AK10" s="338"/>
      <c r="AL10" s="338"/>
      <c r="AM10" s="338"/>
      <c r="AN10" s="338"/>
      <c r="AO10" s="338"/>
      <c r="AP10" s="186"/>
      <c r="AQ10" s="267"/>
      <c r="AR10" s="267"/>
      <c r="AS10" s="340"/>
    </row>
    <row r="11" spans="1:45" ht="25.5">
      <c r="A11" s="236" t="s">
        <v>1269</v>
      </c>
      <c r="B11" s="170">
        <f>'Industry Assumptions'!$E$7*'Industry Assumptions'!$B$232</f>
        <v>6.0749999999999998E-2</v>
      </c>
      <c r="C11" s="170">
        <f>'Industry Assumptions'!$F$7*'Industry Assumptions'!$B$232</f>
        <v>9.1124999999999998E-2</v>
      </c>
      <c r="D11" s="170">
        <f>'Industry Assumptions'!$E$7*'Industry Assumptions'!$B$232</f>
        <v>6.0749999999999998E-2</v>
      </c>
      <c r="E11" s="170">
        <f>'Industry Assumptions'!$F$7*'Industry Assumptions'!$B$232</f>
        <v>9.1124999999999998E-2</v>
      </c>
      <c r="F11" s="170">
        <f>'Industry Assumptions'!$E$7*'Industry Assumptions'!$B$232</f>
        <v>6.0749999999999998E-2</v>
      </c>
      <c r="G11" s="170">
        <f>'Industry Assumptions'!$F$7*'Industry Assumptions'!$B$232</f>
        <v>9.1124999999999998E-2</v>
      </c>
      <c r="H11" s="170">
        <f>'Industry Assumptions'!$E$7*'Industry Assumptions'!$B$232</f>
        <v>6.0749999999999998E-2</v>
      </c>
      <c r="I11" s="170">
        <f>'Industry Assumptions'!$F$7*'Industry Assumptions'!$B$232</f>
        <v>9.1124999999999998E-2</v>
      </c>
      <c r="J11" s="170">
        <f>'Industry Assumptions'!$E$7*'Industry Assumptions'!$B$232</f>
        <v>6.0749999999999998E-2</v>
      </c>
      <c r="K11" s="170">
        <f>'Industry Assumptions'!$F$7*'Industry Assumptions'!$B$232</f>
        <v>9.1124999999999998E-2</v>
      </c>
      <c r="L11" s="170">
        <f>'Industry Assumptions'!$E$7*'Industry Assumptions'!$B$232</f>
        <v>6.0749999999999998E-2</v>
      </c>
      <c r="M11" s="170">
        <f>'Industry Assumptions'!$F$7*'Industry Assumptions'!$B$232</f>
        <v>9.1124999999999998E-2</v>
      </c>
      <c r="N11" s="170">
        <f>'Industry Assumptions'!$E$7*'Industry Assumptions'!$B$232</f>
        <v>6.0749999999999998E-2</v>
      </c>
      <c r="O11" s="170">
        <f>'Industry Assumptions'!$F$7*'Industry Assumptions'!$B$232</f>
        <v>9.1124999999999998E-2</v>
      </c>
      <c r="P11" s="170">
        <f>'Industry Assumptions'!$E$7*'Industry Assumptions'!$B$232</f>
        <v>6.0749999999999998E-2</v>
      </c>
      <c r="Q11" s="170">
        <f>'Industry Assumptions'!$F$7*'Industry Assumptions'!$B$232</f>
        <v>9.1124999999999998E-2</v>
      </c>
      <c r="R11" s="170">
        <f>'Industry Assumptions'!$E$7*'Industry Assumptions'!$B$232</f>
        <v>6.0749999999999998E-2</v>
      </c>
      <c r="S11" s="170">
        <f>'Industry Assumptions'!$F$7*'Industry Assumptions'!$B$232</f>
        <v>9.1124999999999998E-2</v>
      </c>
      <c r="T11" s="170">
        <f>'Industry Assumptions'!$E$7*'Industry Assumptions'!$B$232</f>
        <v>6.0749999999999998E-2</v>
      </c>
      <c r="U11" s="170">
        <f>'Industry Assumptions'!$F$7*'Industry Assumptions'!$B$232</f>
        <v>9.1124999999999998E-2</v>
      </c>
      <c r="V11" s="170">
        <f>'Industry Assumptions'!$E$7*'Industry Assumptions'!$B$232</f>
        <v>6.0749999999999998E-2</v>
      </c>
      <c r="W11" s="170">
        <f>'Industry Assumptions'!$F$7*'Industry Assumptions'!$B$232</f>
        <v>9.1124999999999998E-2</v>
      </c>
      <c r="X11" s="170">
        <f>'Industry Assumptions'!$E$7*'Industry Assumptions'!$B$232</f>
        <v>6.0749999999999998E-2</v>
      </c>
      <c r="Y11" s="170">
        <f>'Industry Assumptions'!$F$7*'Industry Assumptions'!$B$232</f>
        <v>9.1124999999999998E-2</v>
      </c>
      <c r="Z11" s="170">
        <f>'Industry Assumptions'!$E$7*'Industry Assumptions'!$B$232</f>
        <v>6.0749999999999998E-2</v>
      </c>
      <c r="AA11" s="170">
        <f>'Industry Assumptions'!$F$7*'Industry Assumptions'!$B$232</f>
        <v>9.1124999999999998E-2</v>
      </c>
      <c r="AB11" s="170">
        <f>'Industry Assumptions'!$E$7*'Industry Assumptions'!$B$232</f>
        <v>6.0749999999999998E-2</v>
      </c>
      <c r="AC11" s="170">
        <f>'Industry Assumptions'!$F$7*'Industry Assumptions'!$B$232</f>
        <v>9.1124999999999998E-2</v>
      </c>
      <c r="AD11" s="170">
        <f>'Industry Assumptions'!$E$7*'Industry Assumptions'!$B$232</f>
        <v>6.0749999999999998E-2</v>
      </c>
      <c r="AE11" s="170">
        <f>'Industry Assumptions'!$F$7*'Industry Assumptions'!$B$232</f>
        <v>9.1124999999999998E-2</v>
      </c>
      <c r="AF11" s="170">
        <f>'Industry Assumptions'!$E$7*'Industry Assumptions'!$B$232</f>
        <v>6.0749999999999998E-2</v>
      </c>
      <c r="AG11" s="170">
        <f>'Industry Assumptions'!$F$7*'Industry Assumptions'!$B$232</f>
        <v>9.1124999999999998E-2</v>
      </c>
      <c r="AH11" s="170">
        <f>'Industry Assumptions'!$E$7*'Industry Assumptions'!$B$232</f>
        <v>6.0749999999999998E-2</v>
      </c>
      <c r="AI11" s="170">
        <f>'Industry Assumptions'!$F$7*'Industry Assumptions'!$B$232</f>
        <v>9.1124999999999998E-2</v>
      </c>
      <c r="AJ11" s="170">
        <f>'Industry Assumptions'!$E$7*'Industry Assumptions'!$B$232</f>
        <v>6.0749999999999998E-2</v>
      </c>
      <c r="AK11" s="170">
        <f>'Industry Assumptions'!$F$7*'Industry Assumptions'!$B$232</f>
        <v>9.1124999999999998E-2</v>
      </c>
      <c r="AL11" s="170">
        <f>'Industry Assumptions'!$E$7*'Industry Assumptions'!$B$232</f>
        <v>6.0749999999999998E-2</v>
      </c>
      <c r="AM11" s="170">
        <f>'Industry Assumptions'!$F$7*'Industry Assumptions'!$B$232</f>
        <v>9.1124999999999998E-2</v>
      </c>
      <c r="AN11" s="170">
        <f>'Industry Assumptions'!$E$7*'Industry Assumptions'!$B$232</f>
        <v>6.0749999999999998E-2</v>
      </c>
      <c r="AO11" s="170">
        <f>'Industry Assumptions'!$F$7*'Industry Assumptions'!$B$232</f>
        <v>9.1124999999999998E-2</v>
      </c>
      <c r="AP11" s="186">
        <f>SUM(B11,D11,F11,H11,J11,L11,N11,P11,R11,T11,V11,X11,Z11,AB11,AD11,AF11,AH11,AJ11,AL11,AN11)</f>
        <v>1.2149999999999999</v>
      </c>
      <c r="AQ11" s="267">
        <f t="shared" ref="AQ11" si="0">C11+E11+G11+I11+K11+M11+O11+Q11+S11+U11+W11+Y11+AA11+AC11+AE11+AG11+AI11+AK11+AM11+AO11</f>
        <v>1.8224999999999991</v>
      </c>
      <c r="AR11" s="267">
        <f t="shared" ref="AR11" si="1">AP11/20</f>
        <v>6.0749999999999992E-2</v>
      </c>
      <c r="AS11" s="340">
        <f t="shared" ref="AS11" si="2">AQ11/20</f>
        <v>9.1124999999999956E-2</v>
      </c>
    </row>
    <row r="12" spans="1:45" ht="27.75" customHeight="1">
      <c r="A12" s="236" t="s">
        <v>1270</v>
      </c>
      <c r="B12" s="170">
        <f>'Industry Assumptions'!$B$247*'Industry Assumptions'!$E$8</f>
        <v>2.38</v>
      </c>
      <c r="C12" s="170">
        <f>'Industry Assumptions'!$F$8*'Industry Assumptions'!$C$247</f>
        <v>0.59499999999999997</v>
      </c>
      <c r="D12" s="170">
        <f>'Industry Assumptions'!$B$247*'Industry Assumptions'!$E$8</f>
        <v>2.38</v>
      </c>
      <c r="E12" s="170">
        <f>'Industry Assumptions'!$F$8*'Industry Assumptions'!$C$247</f>
        <v>0.59499999999999997</v>
      </c>
      <c r="F12" s="170">
        <f>'Industry Assumptions'!$B$247*'Industry Assumptions'!$E$8</f>
        <v>2.38</v>
      </c>
      <c r="G12" s="170">
        <f>'Industry Assumptions'!$F$8*'Industry Assumptions'!$C$247</f>
        <v>0.59499999999999997</v>
      </c>
      <c r="H12" s="170">
        <f>'Industry Assumptions'!$B$247*'Industry Assumptions'!$E$8</f>
        <v>2.38</v>
      </c>
      <c r="I12" s="170">
        <f>'Industry Assumptions'!$F$8*'Industry Assumptions'!$C$247</f>
        <v>0.59499999999999997</v>
      </c>
      <c r="J12" s="170">
        <f>'Industry Assumptions'!$B$247*'Industry Assumptions'!$E$8</f>
        <v>2.38</v>
      </c>
      <c r="K12" s="170">
        <f>'Industry Assumptions'!$F$8*'Industry Assumptions'!$C$247</f>
        <v>0.59499999999999997</v>
      </c>
      <c r="L12" s="170">
        <f>'Industry Assumptions'!$B$247*'Industry Assumptions'!$E$8</f>
        <v>2.38</v>
      </c>
      <c r="M12" s="170">
        <f>'Industry Assumptions'!$F$8*'Industry Assumptions'!$C$247</f>
        <v>0.59499999999999997</v>
      </c>
      <c r="N12" s="170">
        <f>'Industry Assumptions'!$B$247*'Industry Assumptions'!$E$8</f>
        <v>2.38</v>
      </c>
      <c r="O12" s="170">
        <f>'Industry Assumptions'!$F$8*'Industry Assumptions'!$C$247</f>
        <v>0.59499999999999997</v>
      </c>
      <c r="P12" s="170">
        <f>'Industry Assumptions'!$B$247*'Industry Assumptions'!$E$8</f>
        <v>2.38</v>
      </c>
      <c r="Q12" s="170">
        <f>'Industry Assumptions'!$F$8*'Industry Assumptions'!$C$247</f>
        <v>0.59499999999999997</v>
      </c>
      <c r="R12" s="170">
        <f>'Industry Assumptions'!$B$247*'Industry Assumptions'!$E$8</f>
        <v>2.38</v>
      </c>
      <c r="S12" s="170">
        <f>'Industry Assumptions'!$F$8*'Industry Assumptions'!$C$247</f>
        <v>0.59499999999999997</v>
      </c>
      <c r="T12" s="170">
        <f>'Industry Assumptions'!$B$247*'Industry Assumptions'!$E$8</f>
        <v>2.38</v>
      </c>
      <c r="U12" s="170">
        <f>'Industry Assumptions'!$F$8*'Industry Assumptions'!$C$247</f>
        <v>0.59499999999999997</v>
      </c>
      <c r="V12" s="170">
        <f>'Industry Assumptions'!$B$247*'Industry Assumptions'!$E$8</f>
        <v>2.38</v>
      </c>
      <c r="W12" s="170">
        <f>'Industry Assumptions'!$F$8*'Industry Assumptions'!$C$247</f>
        <v>0.59499999999999997</v>
      </c>
      <c r="X12" s="170">
        <f>'Industry Assumptions'!$B$247*'Industry Assumptions'!$E$8</f>
        <v>2.38</v>
      </c>
      <c r="Y12" s="170">
        <f>'Industry Assumptions'!$F$8*'Industry Assumptions'!$C$247</f>
        <v>0.59499999999999997</v>
      </c>
      <c r="Z12" s="170">
        <f>'Industry Assumptions'!$B$247*'Industry Assumptions'!$E$8</f>
        <v>2.38</v>
      </c>
      <c r="AA12" s="170">
        <f>'Industry Assumptions'!$F$8*'Industry Assumptions'!$C$247</f>
        <v>0.59499999999999997</v>
      </c>
      <c r="AB12" s="170">
        <f>'Industry Assumptions'!$B$247*'Industry Assumptions'!$E$8</f>
        <v>2.38</v>
      </c>
      <c r="AC12" s="170">
        <f>'Industry Assumptions'!$F$8*'Industry Assumptions'!$C$247</f>
        <v>0.59499999999999997</v>
      </c>
      <c r="AD12" s="170">
        <f>'Industry Assumptions'!$B$247*'Industry Assumptions'!$E$8</f>
        <v>2.38</v>
      </c>
      <c r="AE12" s="170">
        <f>'Industry Assumptions'!$F$8*'Industry Assumptions'!$C$247</f>
        <v>0.59499999999999997</v>
      </c>
      <c r="AF12" s="170">
        <f>'Industry Assumptions'!$B$247*'Industry Assumptions'!$E$8</f>
        <v>2.38</v>
      </c>
      <c r="AG12" s="170">
        <f>'Industry Assumptions'!$F$8*'Industry Assumptions'!$C$247</f>
        <v>0.59499999999999997</v>
      </c>
      <c r="AH12" s="170">
        <f>'Industry Assumptions'!$B$247*'Industry Assumptions'!$E$8</f>
        <v>2.38</v>
      </c>
      <c r="AI12" s="170">
        <f>'Industry Assumptions'!$F$8*'Industry Assumptions'!$C$247</f>
        <v>0.59499999999999997</v>
      </c>
      <c r="AJ12" s="170">
        <f>'Industry Assumptions'!$B$247*'Industry Assumptions'!$E$8</f>
        <v>2.38</v>
      </c>
      <c r="AK12" s="170">
        <f>'Industry Assumptions'!$F$8*'Industry Assumptions'!$C$247</f>
        <v>0.59499999999999997</v>
      </c>
      <c r="AL12" s="170">
        <f>'Industry Assumptions'!$B$247*'Industry Assumptions'!$E$8</f>
        <v>2.38</v>
      </c>
      <c r="AM12" s="170">
        <f>'Industry Assumptions'!$F$8*'Industry Assumptions'!$C$247</f>
        <v>0.59499999999999997</v>
      </c>
      <c r="AN12" s="170">
        <f>'Industry Assumptions'!$B$247*'Industry Assumptions'!$E$8</f>
        <v>2.38</v>
      </c>
      <c r="AO12" s="170">
        <f>'Industry Assumptions'!$F$8*'Industry Assumptions'!$C$247</f>
        <v>0.59499999999999997</v>
      </c>
      <c r="AP12" s="186">
        <f>SUM(B12,D12,F12,H12,J12,L12,N12,P12,R12,T12,V12,X12,Z12,AB12,AD12,AF12,AH12,AJ12,AL12,AN12)</f>
        <v>47.600000000000009</v>
      </c>
      <c r="AQ12" s="267">
        <f>C12+E12+G12+I12+K12+M12+O12+Q12+S12+U12+W12+Y12+AA12+AC12+AE12+AG12+AI12+AK12+AM12+AO12</f>
        <v>11.900000000000002</v>
      </c>
      <c r="AR12" s="267">
        <f t="shared" ref="AR12" si="3">AP12/20</f>
        <v>2.3800000000000003</v>
      </c>
      <c r="AS12" s="340">
        <f t="shared" ref="AS12" si="4">AQ12/20</f>
        <v>0.59500000000000008</v>
      </c>
    </row>
    <row r="13" spans="1:45">
      <c r="B13" s="170"/>
      <c r="C13" s="170"/>
      <c r="D13" s="170"/>
      <c r="E13" s="170"/>
      <c r="F13" s="170"/>
      <c r="G13" s="170"/>
      <c r="H13" s="170"/>
      <c r="I13" s="170"/>
      <c r="J13" s="341"/>
      <c r="K13" s="341"/>
      <c r="L13" s="341"/>
      <c r="M13" s="341"/>
      <c r="N13" s="341"/>
      <c r="O13" s="341"/>
      <c r="P13" s="341"/>
      <c r="Q13" s="341"/>
      <c r="R13" s="341"/>
      <c r="S13" s="341"/>
      <c r="T13" s="341"/>
      <c r="U13" s="341"/>
      <c r="V13" s="341"/>
      <c r="W13" s="341"/>
      <c r="X13" s="341"/>
      <c r="Y13" s="341"/>
      <c r="Z13" s="341"/>
      <c r="AA13" s="341"/>
      <c r="AB13" s="341"/>
      <c r="AC13" s="341"/>
      <c r="AD13" s="341"/>
      <c r="AE13" s="341"/>
      <c r="AF13" s="341"/>
      <c r="AG13" s="341"/>
      <c r="AH13" s="341"/>
      <c r="AI13" s="341"/>
      <c r="AJ13" s="341"/>
      <c r="AK13" s="341"/>
      <c r="AL13" s="341"/>
      <c r="AM13" s="341"/>
      <c r="AN13" s="341"/>
      <c r="AO13" s="341"/>
      <c r="AP13" s="186"/>
      <c r="AQ13" s="267"/>
      <c r="AR13" s="267"/>
      <c r="AS13" s="340"/>
    </row>
    <row r="14" spans="1:45">
      <c r="A14" s="12" t="s">
        <v>1271</v>
      </c>
      <c r="B14" s="170"/>
      <c r="C14" s="170"/>
      <c r="D14" s="170"/>
      <c r="E14" s="170"/>
      <c r="F14" s="170"/>
      <c r="G14" s="170"/>
      <c r="H14" s="170"/>
      <c r="I14" s="170"/>
      <c r="J14" s="341"/>
      <c r="K14" s="341"/>
      <c r="L14" s="341"/>
      <c r="M14" s="341"/>
      <c r="N14" s="341"/>
      <c r="O14" s="341"/>
      <c r="P14" s="341"/>
      <c r="Q14" s="341"/>
      <c r="R14" s="341"/>
      <c r="S14" s="341"/>
      <c r="T14" s="341"/>
      <c r="U14" s="341"/>
      <c r="V14" s="341"/>
      <c r="W14" s="341"/>
      <c r="X14" s="341"/>
      <c r="Y14" s="341"/>
      <c r="Z14" s="341"/>
      <c r="AA14" s="341"/>
      <c r="AB14" s="341"/>
      <c r="AC14" s="341"/>
      <c r="AD14" s="341"/>
      <c r="AE14" s="341"/>
      <c r="AF14" s="341"/>
      <c r="AG14" s="341"/>
      <c r="AH14" s="341"/>
      <c r="AI14" s="341"/>
      <c r="AJ14" s="341"/>
      <c r="AK14" s="341"/>
      <c r="AL14" s="341"/>
      <c r="AM14" s="341"/>
      <c r="AN14" s="341"/>
      <c r="AO14" s="341"/>
      <c r="AP14" s="186"/>
      <c r="AQ14" s="267"/>
      <c r="AR14" s="267"/>
      <c r="AS14" s="340"/>
    </row>
    <row r="15" spans="1:45">
      <c r="A15" s="90" t="s">
        <v>1265</v>
      </c>
      <c r="B15" s="170">
        <v>0</v>
      </c>
      <c r="C15" s="170">
        <v>0</v>
      </c>
      <c r="D15" s="170">
        <v>0</v>
      </c>
      <c r="E15" s="170">
        <v>0</v>
      </c>
      <c r="F15" s="170">
        <f>'Industry Assumptions'!$E$10*'Industry Assumptions'!$H$250</f>
        <v>0.158</v>
      </c>
      <c r="G15" s="170">
        <f>'Industry Assumptions'!$F$10*'Industry Assumptions'!$H$250</f>
        <v>1.1850000000000001</v>
      </c>
      <c r="H15" s="170">
        <v>0</v>
      </c>
      <c r="I15" s="170">
        <v>0</v>
      </c>
      <c r="J15" s="170">
        <v>0</v>
      </c>
      <c r="K15" s="170">
        <v>0</v>
      </c>
      <c r="L15" s="170">
        <v>0</v>
      </c>
      <c r="M15" s="170">
        <v>0</v>
      </c>
      <c r="N15" s="170">
        <v>0</v>
      </c>
      <c r="O15" s="170">
        <v>0</v>
      </c>
      <c r="P15" s="170">
        <v>0</v>
      </c>
      <c r="Q15" s="170">
        <v>0</v>
      </c>
      <c r="R15" s="170">
        <v>0</v>
      </c>
      <c r="S15" s="170">
        <v>0</v>
      </c>
      <c r="T15" s="170">
        <v>0</v>
      </c>
      <c r="U15" s="170">
        <v>0</v>
      </c>
      <c r="V15" s="170">
        <v>0</v>
      </c>
      <c r="W15" s="170">
        <v>0</v>
      </c>
      <c r="X15" s="170">
        <v>0</v>
      </c>
      <c r="Y15" s="170">
        <v>0</v>
      </c>
      <c r="Z15" s="170">
        <v>0</v>
      </c>
      <c r="AA15" s="170">
        <v>0</v>
      </c>
      <c r="AB15" s="170">
        <v>0</v>
      </c>
      <c r="AC15" s="170">
        <v>0</v>
      </c>
      <c r="AD15" s="170">
        <v>0</v>
      </c>
      <c r="AE15" s="170">
        <v>0</v>
      </c>
      <c r="AF15" s="170">
        <v>0</v>
      </c>
      <c r="AG15" s="170">
        <v>0</v>
      </c>
      <c r="AH15" s="170">
        <v>0</v>
      </c>
      <c r="AI15" s="170">
        <v>0</v>
      </c>
      <c r="AJ15" s="170">
        <v>0</v>
      </c>
      <c r="AK15" s="170">
        <v>0</v>
      </c>
      <c r="AL15" s="170">
        <v>0</v>
      </c>
      <c r="AM15" s="170">
        <v>0</v>
      </c>
      <c r="AN15" s="170">
        <v>0</v>
      </c>
      <c r="AO15" s="170">
        <v>0</v>
      </c>
      <c r="AP15" s="186">
        <f t="shared" ref="AP15:AP48" si="5">B15+D15+F15+H15+J15+L15+N15+P15+R15+T15+V15+X15+Z15+AB15+AD15+AF15+AH15+AJ15+AL15+AN15</f>
        <v>0.158</v>
      </c>
      <c r="AQ15" s="267">
        <f t="shared" ref="AQ15:AQ48" si="6">C15+E15+G15+I15+K15+M15+O15+Q15+S15+U15+W15+Y15+AA15+AC15+AE15+AG15+AI15+AK15+AM15+AO15</f>
        <v>1.1850000000000001</v>
      </c>
      <c r="AR15" s="267">
        <f t="shared" ref="AR15:AR46" si="7">AP15/20</f>
        <v>7.9000000000000008E-3</v>
      </c>
      <c r="AS15" s="340">
        <f t="shared" ref="AS15:AS46" si="8">AQ15/20</f>
        <v>5.9250000000000004E-2</v>
      </c>
    </row>
    <row r="16" spans="1:45">
      <c r="A16" s="90" t="s">
        <v>1266</v>
      </c>
      <c r="B16" s="170">
        <v>0</v>
      </c>
      <c r="C16" s="170">
        <v>0</v>
      </c>
      <c r="D16" s="170">
        <v>0</v>
      </c>
      <c r="E16" s="170">
        <v>0</v>
      </c>
      <c r="F16" s="170">
        <f>'Industry Assumptions'!E11*'Industry Assumptions'!$H$250</f>
        <v>7.9000000000000001E-2</v>
      </c>
      <c r="G16" s="170">
        <f>'Industry Assumptions'!F11*'Industry Assumptions'!$H$250</f>
        <v>0.158</v>
      </c>
      <c r="H16" s="170">
        <v>0</v>
      </c>
      <c r="I16" s="170">
        <v>0</v>
      </c>
      <c r="J16" s="170">
        <v>0</v>
      </c>
      <c r="K16" s="170">
        <v>0</v>
      </c>
      <c r="L16" s="170">
        <v>0</v>
      </c>
      <c r="M16" s="170">
        <v>0</v>
      </c>
      <c r="N16" s="170">
        <v>0</v>
      </c>
      <c r="O16" s="170">
        <v>0</v>
      </c>
      <c r="P16" s="170">
        <v>0</v>
      </c>
      <c r="Q16" s="170">
        <v>0</v>
      </c>
      <c r="R16" s="170">
        <v>0</v>
      </c>
      <c r="S16" s="170">
        <v>0</v>
      </c>
      <c r="T16" s="170">
        <v>0</v>
      </c>
      <c r="U16" s="170">
        <v>0</v>
      </c>
      <c r="V16" s="170">
        <v>0</v>
      </c>
      <c r="W16" s="170">
        <v>0</v>
      </c>
      <c r="X16" s="170">
        <v>0</v>
      </c>
      <c r="Y16" s="170">
        <v>0</v>
      </c>
      <c r="Z16" s="170">
        <v>0</v>
      </c>
      <c r="AA16" s="170">
        <v>0</v>
      </c>
      <c r="AB16" s="170">
        <v>0</v>
      </c>
      <c r="AC16" s="170">
        <v>0</v>
      </c>
      <c r="AD16" s="170">
        <v>0</v>
      </c>
      <c r="AE16" s="170">
        <v>0</v>
      </c>
      <c r="AF16" s="170">
        <v>0</v>
      </c>
      <c r="AG16" s="170">
        <v>0</v>
      </c>
      <c r="AH16" s="170">
        <v>0</v>
      </c>
      <c r="AI16" s="170">
        <v>0</v>
      </c>
      <c r="AJ16" s="170">
        <v>0</v>
      </c>
      <c r="AK16" s="170">
        <v>0</v>
      </c>
      <c r="AL16" s="170">
        <v>0</v>
      </c>
      <c r="AM16" s="170">
        <v>0</v>
      </c>
      <c r="AN16" s="170">
        <v>0</v>
      </c>
      <c r="AO16" s="170">
        <v>0</v>
      </c>
      <c r="AP16" s="186">
        <f t="shared" si="5"/>
        <v>7.9000000000000001E-2</v>
      </c>
      <c r="AQ16" s="267">
        <f t="shared" si="6"/>
        <v>0.158</v>
      </c>
      <c r="AR16" s="267">
        <f t="shared" si="7"/>
        <v>3.9500000000000004E-3</v>
      </c>
      <c r="AS16" s="340">
        <f t="shared" si="8"/>
        <v>7.9000000000000008E-3</v>
      </c>
    </row>
    <row r="17" spans="1:45" ht="25.5">
      <c r="A17" s="90" t="s">
        <v>1267</v>
      </c>
      <c r="B17" s="170">
        <v>0</v>
      </c>
      <c r="C17" s="170">
        <v>0</v>
      </c>
      <c r="D17" s="170">
        <v>0</v>
      </c>
      <c r="E17" s="170">
        <v>0</v>
      </c>
      <c r="F17" s="170">
        <f>'Industry Assumptions'!E23*'Industry Assumptions'!$I$250</f>
        <v>3.95E-2</v>
      </c>
      <c r="G17" s="170">
        <f>'Industry Assumptions'!F23*'Industry Assumptions'!$I$250</f>
        <v>0.23699999999999999</v>
      </c>
      <c r="H17" s="170">
        <v>0</v>
      </c>
      <c r="I17" s="170">
        <v>0</v>
      </c>
      <c r="J17" s="170">
        <v>0</v>
      </c>
      <c r="K17" s="170">
        <v>0</v>
      </c>
      <c r="L17" s="170">
        <v>0</v>
      </c>
      <c r="M17" s="170">
        <v>0</v>
      </c>
      <c r="N17" s="170">
        <v>0</v>
      </c>
      <c r="O17" s="170">
        <v>0</v>
      </c>
      <c r="P17" s="170">
        <v>0</v>
      </c>
      <c r="Q17" s="170">
        <v>0</v>
      </c>
      <c r="R17" s="170">
        <v>0</v>
      </c>
      <c r="S17" s="170">
        <v>0</v>
      </c>
      <c r="T17" s="170">
        <v>0</v>
      </c>
      <c r="U17" s="170">
        <v>0</v>
      </c>
      <c r="V17" s="170">
        <v>0</v>
      </c>
      <c r="W17" s="170">
        <v>0</v>
      </c>
      <c r="X17" s="170">
        <v>0</v>
      </c>
      <c r="Y17" s="170">
        <v>0</v>
      </c>
      <c r="Z17" s="170">
        <v>0</v>
      </c>
      <c r="AA17" s="170">
        <v>0</v>
      </c>
      <c r="AB17" s="170">
        <v>0</v>
      </c>
      <c r="AC17" s="170">
        <v>0</v>
      </c>
      <c r="AD17" s="170">
        <v>0</v>
      </c>
      <c r="AE17" s="170">
        <v>0</v>
      </c>
      <c r="AF17" s="170">
        <v>0</v>
      </c>
      <c r="AG17" s="170">
        <v>0</v>
      </c>
      <c r="AH17" s="170">
        <v>0</v>
      </c>
      <c r="AI17" s="170">
        <v>0</v>
      </c>
      <c r="AJ17" s="170">
        <v>0</v>
      </c>
      <c r="AK17" s="170">
        <v>0</v>
      </c>
      <c r="AL17" s="170">
        <v>0</v>
      </c>
      <c r="AM17" s="170">
        <v>0</v>
      </c>
      <c r="AN17" s="170">
        <v>0</v>
      </c>
      <c r="AO17" s="170">
        <v>0</v>
      </c>
      <c r="AP17" s="186">
        <f t="shared" si="5"/>
        <v>3.95E-2</v>
      </c>
      <c r="AQ17" s="267">
        <f t="shared" si="6"/>
        <v>0.23699999999999999</v>
      </c>
      <c r="AR17" s="267">
        <f t="shared" si="7"/>
        <v>1.9750000000000002E-3</v>
      </c>
      <c r="AS17" s="340">
        <f t="shared" si="8"/>
        <v>1.1849999999999999E-2</v>
      </c>
    </row>
    <row r="18" spans="1:45">
      <c r="A18" s="90" t="s">
        <v>1268</v>
      </c>
      <c r="B18" s="170">
        <v>0</v>
      </c>
      <c r="C18" s="170">
        <v>0</v>
      </c>
      <c r="D18" s="170">
        <v>0</v>
      </c>
      <c r="E18" s="170">
        <v>0</v>
      </c>
      <c r="F18" s="170">
        <f>'Industry Assumptions'!E13*'Industry Assumptions'!G251</f>
        <v>0.04</v>
      </c>
      <c r="G18" s="170">
        <f>'Industry Assumptions'!F13*'Industry Assumptions'!H251</f>
        <v>0.16000000000000003</v>
      </c>
      <c r="H18" s="170">
        <v>0</v>
      </c>
      <c r="I18" s="170">
        <v>0</v>
      </c>
      <c r="J18" s="170">
        <v>0</v>
      </c>
      <c r="K18" s="170">
        <v>0</v>
      </c>
      <c r="L18" s="170">
        <v>0</v>
      </c>
      <c r="M18" s="170">
        <v>0</v>
      </c>
      <c r="N18" s="170">
        <v>0</v>
      </c>
      <c r="O18" s="170">
        <v>0</v>
      </c>
      <c r="P18" s="170">
        <v>0</v>
      </c>
      <c r="Q18" s="170">
        <v>0</v>
      </c>
      <c r="R18" s="170">
        <v>0</v>
      </c>
      <c r="S18" s="170">
        <v>0</v>
      </c>
      <c r="T18" s="170">
        <v>0</v>
      </c>
      <c r="U18" s="170">
        <v>0</v>
      </c>
      <c r="V18" s="170">
        <v>0</v>
      </c>
      <c r="W18" s="170">
        <v>0</v>
      </c>
      <c r="X18" s="170">
        <v>0</v>
      </c>
      <c r="Y18" s="170">
        <v>0</v>
      </c>
      <c r="Z18" s="170">
        <v>0</v>
      </c>
      <c r="AA18" s="170">
        <v>0</v>
      </c>
      <c r="AB18" s="170">
        <v>0</v>
      </c>
      <c r="AC18" s="170">
        <v>0</v>
      </c>
      <c r="AD18" s="170">
        <v>0</v>
      </c>
      <c r="AE18" s="170">
        <v>0</v>
      </c>
      <c r="AF18" s="170">
        <v>0</v>
      </c>
      <c r="AG18" s="170">
        <v>0</v>
      </c>
      <c r="AH18" s="170">
        <v>0</v>
      </c>
      <c r="AI18" s="170">
        <v>0</v>
      </c>
      <c r="AJ18" s="170">
        <v>0</v>
      </c>
      <c r="AK18" s="170">
        <v>0</v>
      </c>
      <c r="AL18" s="170">
        <v>0</v>
      </c>
      <c r="AM18" s="170">
        <v>0</v>
      </c>
      <c r="AN18" s="170">
        <v>0</v>
      </c>
      <c r="AO18" s="170">
        <v>0</v>
      </c>
      <c r="AP18" s="186">
        <f t="shared" si="5"/>
        <v>0.04</v>
      </c>
      <c r="AQ18" s="267">
        <f t="shared" si="6"/>
        <v>0.16000000000000003</v>
      </c>
      <c r="AR18" s="267">
        <f t="shared" si="7"/>
        <v>2E-3</v>
      </c>
      <c r="AS18" s="340">
        <f t="shared" si="8"/>
        <v>8.0000000000000019E-3</v>
      </c>
    </row>
    <row r="19" spans="1:45" ht="25.5">
      <c r="A19" s="90" t="s">
        <v>1273</v>
      </c>
      <c r="B19" s="170">
        <v>0</v>
      </c>
      <c r="C19" s="170">
        <v>0</v>
      </c>
      <c r="D19" s="170">
        <f>'Industry Assumptions'!$E$14*'Industry Assumptions'!$H$250</f>
        <v>7.9000000000000001E-2</v>
      </c>
      <c r="E19" s="170">
        <f>'Industry Assumptions'!$F$14*'Industry Assumptions'!$H$250</f>
        <v>0.79</v>
      </c>
      <c r="F19" s="170">
        <f>'Industry Assumptions'!$E$14*'Industry Assumptions'!$H$250</f>
        <v>7.9000000000000001E-2</v>
      </c>
      <c r="G19" s="170">
        <f>'Industry Assumptions'!$F$14*'Industry Assumptions'!$H$250</f>
        <v>0.79</v>
      </c>
      <c r="H19" s="170">
        <f>'Industry Assumptions'!$E$14*'Industry Assumptions'!$H$250</f>
        <v>7.9000000000000001E-2</v>
      </c>
      <c r="I19" s="170">
        <f>'Industry Assumptions'!$F$14*'Industry Assumptions'!$H$250</f>
        <v>0.79</v>
      </c>
      <c r="J19" s="170">
        <f>'Industry Assumptions'!$E$14*'Industry Assumptions'!$H$250</f>
        <v>7.9000000000000001E-2</v>
      </c>
      <c r="K19" s="170">
        <f>'Industry Assumptions'!$F$14*'Industry Assumptions'!$H$250</f>
        <v>0.79</v>
      </c>
      <c r="L19" s="170">
        <f>'Industry Assumptions'!$E$14*'Industry Assumptions'!$H$250</f>
        <v>7.9000000000000001E-2</v>
      </c>
      <c r="M19" s="170">
        <f>'Industry Assumptions'!$F$14*'Industry Assumptions'!$H$250</f>
        <v>0.79</v>
      </c>
      <c r="N19" s="170">
        <f>'Industry Assumptions'!$E$14*'Industry Assumptions'!$H$250</f>
        <v>7.9000000000000001E-2</v>
      </c>
      <c r="O19" s="170">
        <f>'Industry Assumptions'!$F$14*'Industry Assumptions'!$H$250</f>
        <v>0.79</v>
      </c>
      <c r="P19" s="170">
        <f>'Industry Assumptions'!$E$14*'Industry Assumptions'!$H$250</f>
        <v>7.9000000000000001E-2</v>
      </c>
      <c r="Q19" s="170">
        <f>'Industry Assumptions'!$F$14*'Industry Assumptions'!$H$250</f>
        <v>0.79</v>
      </c>
      <c r="R19" s="170">
        <f>'Industry Assumptions'!$E$14*'Industry Assumptions'!$H$250</f>
        <v>7.9000000000000001E-2</v>
      </c>
      <c r="S19" s="170">
        <f>'Industry Assumptions'!$F$14*'Industry Assumptions'!$H$250</f>
        <v>0.79</v>
      </c>
      <c r="T19" s="170">
        <f>'Industry Assumptions'!$E$14*'Industry Assumptions'!$H$250</f>
        <v>7.9000000000000001E-2</v>
      </c>
      <c r="U19" s="170">
        <f>'Industry Assumptions'!$F$14*'Industry Assumptions'!$H$250</f>
        <v>0.79</v>
      </c>
      <c r="V19" s="170">
        <f>'Industry Assumptions'!$E$14*'Industry Assumptions'!$H$250</f>
        <v>7.9000000000000001E-2</v>
      </c>
      <c r="W19" s="170">
        <f>'Industry Assumptions'!$F$14*'Industry Assumptions'!$H$250</f>
        <v>0.79</v>
      </c>
      <c r="X19" s="170">
        <f>'Industry Assumptions'!$E$14*'Industry Assumptions'!$H$250</f>
        <v>7.9000000000000001E-2</v>
      </c>
      <c r="Y19" s="170">
        <f>'Industry Assumptions'!$F$14*'Industry Assumptions'!$H$250</f>
        <v>0.79</v>
      </c>
      <c r="Z19" s="170">
        <f>'Industry Assumptions'!$E$14*'Industry Assumptions'!$H$250</f>
        <v>7.9000000000000001E-2</v>
      </c>
      <c r="AA19" s="170">
        <f>'Industry Assumptions'!$F$14*'Industry Assumptions'!$H$250</f>
        <v>0.79</v>
      </c>
      <c r="AB19" s="170">
        <f>'Industry Assumptions'!$E$14*'Industry Assumptions'!$H$250</f>
        <v>7.9000000000000001E-2</v>
      </c>
      <c r="AC19" s="170">
        <f>'Industry Assumptions'!$F$14*'Industry Assumptions'!$H$250</f>
        <v>0.79</v>
      </c>
      <c r="AD19" s="170">
        <f>'Industry Assumptions'!$E$14*'Industry Assumptions'!$H$250</f>
        <v>7.9000000000000001E-2</v>
      </c>
      <c r="AE19" s="170">
        <f>'Industry Assumptions'!$F$14*'Industry Assumptions'!$H$250</f>
        <v>0.79</v>
      </c>
      <c r="AF19" s="170">
        <f>'Industry Assumptions'!$E$14*'Industry Assumptions'!$H$250</f>
        <v>7.9000000000000001E-2</v>
      </c>
      <c r="AG19" s="170">
        <f>'Industry Assumptions'!$F$14*'Industry Assumptions'!$H$250</f>
        <v>0.79</v>
      </c>
      <c r="AH19" s="170">
        <f>'Industry Assumptions'!$E$14*'Industry Assumptions'!$H$250</f>
        <v>7.9000000000000001E-2</v>
      </c>
      <c r="AI19" s="170">
        <f>'Industry Assumptions'!$F$14*'Industry Assumptions'!$H$250</f>
        <v>0.79</v>
      </c>
      <c r="AJ19" s="170">
        <f>'Industry Assumptions'!$E$14*'Industry Assumptions'!$H$250</f>
        <v>7.9000000000000001E-2</v>
      </c>
      <c r="AK19" s="170">
        <f>'Industry Assumptions'!$F$14*'Industry Assumptions'!$H$250</f>
        <v>0.79</v>
      </c>
      <c r="AL19" s="170">
        <f>'Industry Assumptions'!$E$14*'Industry Assumptions'!$H$250</f>
        <v>7.9000000000000001E-2</v>
      </c>
      <c r="AM19" s="170">
        <f>'Industry Assumptions'!$F$14*'Industry Assumptions'!$H$250</f>
        <v>0.79</v>
      </c>
      <c r="AN19" s="170">
        <f>'Industry Assumptions'!$E$14*'Industry Assumptions'!$H$250</f>
        <v>7.9000000000000001E-2</v>
      </c>
      <c r="AO19" s="170">
        <f>'Industry Assumptions'!$F$14*'Industry Assumptions'!$H$250</f>
        <v>0.79</v>
      </c>
      <c r="AP19" s="186">
        <f t="shared" si="5"/>
        <v>1.5009999999999997</v>
      </c>
      <c r="AQ19" s="267">
        <f t="shared" si="6"/>
        <v>15.009999999999994</v>
      </c>
      <c r="AR19" s="267">
        <f t="shared" si="7"/>
        <v>7.5049999999999978E-2</v>
      </c>
      <c r="AS19" s="340">
        <f t="shared" si="8"/>
        <v>0.75049999999999972</v>
      </c>
    </row>
    <row r="20" spans="1:45">
      <c r="A20" s="90"/>
      <c r="B20" s="170"/>
      <c r="C20" s="170"/>
      <c r="D20" s="170"/>
      <c r="E20" s="170"/>
      <c r="F20" s="170"/>
      <c r="G20" s="170"/>
      <c r="H20" s="170"/>
      <c r="I20" s="170"/>
      <c r="J20" s="341"/>
      <c r="K20" s="341"/>
      <c r="L20" s="341"/>
      <c r="M20" s="341"/>
      <c r="N20" s="341"/>
      <c r="O20" s="341"/>
      <c r="P20" s="341"/>
      <c r="Q20" s="341"/>
      <c r="R20" s="341"/>
      <c r="S20" s="341"/>
      <c r="T20" s="341"/>
      <c r="U20" s="341"/>
      <c r="V20" s="341"/>
      <c r="W20" s="341"/>
      <c r="X20" s="341"/>
      <c r="Y20" s="341"/>
      <c r="Z20" s="341"/>
      <c r="AA20" s="341"/>
      <c r="AB20" s="341"/>
      <c r="AC20" s="341"/>
      <c r="AD20" s="341"/>
      <c r="AE20" s="341"/>
      <c r="AF20" s="341"/>
      <c r="AG20" s="341"/>
      <c r="AH20" s="341"/>
      <c r="AI20" s="341"/>
      <c r="AJ20" s="341"/>
      <c r="AK20" s="341"/>
      <c r="AL20" s="341"/>
      <c r="AM20" s="341"/>
      <c r="AN20" s="341"/>
      <c r="AO20" s="341"/>
      <c r="AP20" s="186">
        <f t="shared" si="5"/>
        <v>0</v>
      </c>
      <c r="AQ20" s="267">
        <f t="shared" si="6"/>
        <v>0</v>
      </c>
      <c r="AR20" s="267">
        <f t="shared" si="7"/>
        <v>0</v>
      </c>
      <c r="AS20" s="340">
        <f t="shared" si="8"/>
        <v>0</v>
      </c>
    </row>
    <row r="21" spans="1:45">
      <c r="A21" s="350" t="s">
        <v>1272</v>
      </c>
      <c r="B21" s="170"/>
      <c r="C21" s="170"/>
      <c r="D21" s="170"/>
      <c r="E21" s="170"/>
      <c r="F21" s="170"/>
      <c r="G21" s="170"/>
      <c r="H21" s="170"/>
      <c r="I21" s="170"/>
      <c r="J21" s="341"/>
      <c r="K21" s="341"/>
      <c r="L21" s="341"/>
      <c r="M21" s="341"/>
      <c r="N21" s="341"/>
      <c r="O21" s="341"/>
      <c r="P21" s="341"/>
      <c r="Q21" s="341"/>
      <c r="R21" s="341"/>
      <c r="S21" s="341"/>
      <c r="T21" s="341"/>
      <c r="U21" s="341"/>
      <c r="V21" s="341"/>
      <c r="W21" s="341"/>
      <c r="X21" s="341"/>
      <c r="Y21" s="341"/>
      <c r="Z21" s="341"/>
      <c r="AA21" s="341"/>
      <c r="AB21" s="341"/>
      <c r="AC21" s="341"/>
      <c r="AD21" s="341"/>
      <c r="AE21" s="341"/>
      <c r="AF21" s="341"/>
      <c r="AG21" s="341"/>
      <c r="AH21" s="341"/>
      <c r="AI21" s="341"/>
      <c r="AJ21" s="341"/>
      <c r="AK21" s="341"/>
      <c r="AL21" s="341"/>
      <c r="AM21" s="341"/>
      <c r="AN21" s="341"/>
      <c r="AO21" s="341"/>
      <c r="AP21" s="186">
        <f t="shared" si="5"/>
        <v>0</v>
      </c>
      <c r="AQ21" s="267">
        <f t="shared" si="6"/>
        <v>0</v>
      </c>
      <c r="AR21" s="267">
        <f t="shared" si="7"/>
        <v>0</v>
      </c>
      <c r="AS21" s="340">
        <f t="shared" si="8"/>
        <v>0</v>
      </c>
    </row>
    <row r="22" spans="1:45" ht="24" customHeight="1">
      <c r="A22" s="90" t="s">
        <v>1274</v>
      </c>
      <c r="B22" s="170">
        <v>0</v>
      </c>
      <c r="C22" s="170">
        <v>0</v>
      </c>
      <c r="D22" s="170">
        <f>'Industry Assumptions'!$E$16*'Industry Assumptions'!$J$250</f>
        <v>0.19750000000000001</v>
      </c>
      <c r="E22" s="170">
        <f>'Industry Assumptions'!$F$16*'Industry Assumptions'!$J$250</f>
        <v>3.95</v>
      </c>
      <c r="F22" s="170">
        <f>'Industry Assumptions'!$E$16*'Industry Assumptions'!$J$250</f>
        <v>0.19750000000000001</v>
      </c>
      <c r="G22" s="170">
        <f>'Industry Assumptions'!$F$16*'Industry Assumptions'!$J$250</f>
        <v>3.95</v>
      </c>
      <c r="H22" s="170">
        <f>'Industry Assumptions'!$E$16*'Industry Assumptions'!$J$250</f>
        <v>0.19750000000000001</v>
      </c>
      <c r="I22" s="170">
        <f>'Industry Assumptions'!$F$16*'Industry Assumptions'!$J$250</f>
        <v>3.95</v>
      </c>
      <c r="J22" s="170">
        <f>'Industry Assumptions'!$E$16*'Industry Assumptions'!$J$250</f>
        <v>0.19750000000000001</v>
      </c>
      <c r="K22" s="170">
        <f>'Industry Assumptions'!$F$16*'Industry Assumptions'!$J$250</f>
        <v>3.95</v>
      </c>
      <c r="L22" s="170">
        <f>'Industry Assumptions'!$E$16*'Industry Assumptions'!$J$250</f>
        <v>0.19750000000000001</v>
      </c>
      <c r="M22" s="170">
        <f>'Industry Assumptions'!$F$16*'Industry Assumptions'!$J$250</f>
        <v>3.95</v>
      </c>
      <c r="N22" s="170">
        <f>'Industry Assumptions'!$E$16*'Industry Assumptions'!$J$250</f>
        <v>0.19750000000000001</v>
      </c>
      <c r="O22" s="170">
        <f>'Industry Assumptions'!$F$16*'Industry Assumptions'!$J$250</f>
        <v>3.95</v>
      </c>
      <c r="P22" s="170">
        <f>'Industry Assumptions'!$E$16*'Industry Assumptions'!$J$250</f>
        <v>0.19750000000000001</v>
      </c>
      <c r="Q22" s="170">
        <f>'Industry Assumptions'!$F$16*'Industry Assumptions'!$J$250</f>
        <v>3.95</v>
      </c>
      <c r="R22" s="170">
        <f>'Industry Assumptions'!$E$16*'Industry Assumptions'!$J$250</f>
        <v>0.19750000000000001</v>
      </c>
      <c r="S22" s="170">
        <f>'Industry Assumptions'!$F$16*'Industry Assumptions'!$J$250</f>
        <v>3.95</v>
      </c>
      <c r="T22" s="170">
        <f>'Industry Assumptions'!$E$16*'Industry Assumptions'!$J$250</f>
        <v>0.19750000000000001</v>
      </c>
      <c r="U22" s="170">
        <f>'Industry Assumptions'!$F$16*'Industry Assumptions'!$J$250</f>
        <v>3.95</v>
      </c>
      <c r="V22" s="170">
        <f>'Industry Assumptions'!$E$16*'Industry Assumptions'!$J$250</f>
        <v>0.19750000000000001</v>
      </c>
      <c r="W22" s="170">
        <f>'Industry Assumptions'!$F$16*'Industry Assumptions'!$J$250</f>
        <v>3.95</v>
      </c>
      <c r="X22" s="170">
        <f>'Industry Assumptions'!$E$16*'Industry Assumptions'!$J$250</f>
        <v>0.19750000000000001</v>
      </c>
      <c r="Y22" s="170">
        <f>'Industry Assumptions'!$F$16*'Industry Assumptions'!$J$250</f>
        <v>3.95</v>
      </c>
      <c r="Z22" s="170">
        <f>'Industry Assumptions'!$E$16*'Industry Assumptions'!$J$250</f>
        <v>0.19750000000000001</v>
      </c>
      <c r="AA22" s="170">
        <f>'Industry Assumptions'!$F$16*'Industry Assumptions'!$J$250</f>
        <v>3.95</v>
      </c>
      <c r="AB22" s="170">
        <f>'Industry Assumptions'!$E$16*'Industry Assumptions'!$J$250</f>
        <v>0.19750000000000001</v>
      </c>
      <c r="AC22" s="170">
        <f>'Industry Assumptions'!$F$16*'Industry Assumptions'!$J$250</f>
        <v>3.95</v>
      </c>
      <c r="AD22" s="170">
        <f>'Industry Assumptions'!$E$16*'Industry Assumptions'!$J$250</f>
        <v>0.19750000000000001</v>
      </c>
      <c r="AE22" s="170">
        <f>'Industry Assumptions'!$F$16*'Industry Assumptions'!$J$250</f>
        <v>3.95</v>
      </c>
      <c r="AF22" s="170">
        <f>'Industry Assumptions'!$E$16*'Industry Assumptions'!$J$250</f>
        <v>0.19750000000000001</v>
      </c>
      <c r="AG22" s="170">
        <f>'Industry Assumptions'!$F$16*'Industry Assumptions'!$J$250</f>
        <v>3.95</v>
      </c>
      <c r="AH22" s="170">
        <f>'Industry Assumptions'!$E$16*'Industry Assumptions'!$J$250</f>
        <v>0.19750000000000001</v>
      </c>
      <c r="AI22" s="170">
        <f>'Industry Assumptions'!$F$16*'Industry Assumptions'!$J$250</f>
        <v>3.95</v>
      </c>
      <c r="AJ22" s="170">
        <f>'Industry Assumptions'!$E$16*'Industry Assumptions'!$J$250</f>
        <v>0.19750000000000001</v>
      </c>
      <c r="AK22" s="170">
        <f>'Industry Assumptions'!$F$16*'Industry Assumptions'!$J$250</f>
        <v>3.95</v>
      </c>
      <c r="AL22" s="170">
        <f>'Industry Assumptions'!$E$16*'Industry Assumptions'!$J$250</f>
        <v>0.19750000000000001</v>
      </c>
      <c r="AM22" s="170">
        <f>'Industry Assumptions'!$F$16*'Industry Assumptions'!$J$250</f>
        <v>3.95</v>
      </c>
      <c r="AN22" s="170">
        <f>'Industry Assumptions'!$E$16*'Industry Assumptions'!$J$250</f>
        <v>0.19750000000000001</v>
      </c>
      <c r="AO22" s="170">
        <f>'Industry Assumptions'!$F$16*'Industry Assumptions'!$J$250</f>
        <v>3.95</v>
      </c>
      <c r="AP22" s="186">
        <f t="shared" si="5"/>
        <v>3.7524999999999986</v>
      </c>
      <c r="AQ22" s="267">
        <f t="shared" si="6"/>
        <v>75.050000000000026</v>
      </c>
      <c r="AR22" s="267">
        <f t="shared" si="7"/>
        <v>0.18762499999999993</v>
      </c>
      <c r="AS22" s="340">
        <f t="shared" si="8"/>
        <v>3.7525000000000013</v>
      </c>
    </row>
    <row r="23" spans="1:45">
      <c r="A23" s="90"/>
      <c r="B23" s="170"/>
      <c r="C23" s="170"/>
      <c r="D23" s="170"/>
      <c r="E23" s="170"/>
      <c r="F23" s="170"/>
      <c r="G23" s="170"/>
      <c r="H23" s="170"/>
      <c r="I23" s="170"/>
      <c r="J23" s="341"/>
      <c r="K23" s="341"/>
      <c r="L23" s="341"/>
      <c r="M23" s="341"/>
      <c r="N23" s="341"/>
      <c r="O23" s="341"/>
      <c r="P23" s="341"/>
      <c r="Q23" s="341"/>
      <c r="R23" s="341"/>
      <c r="S23" s="341"/>
      <c r="T23" s="341"/>
      <c r="U23" s="341"/>
      <c r="V23" s="341"/>
      <c r="W23" s="341"/>
      <c r="X23" s="341"/>
      <c r="Y23" s="341"/>
      <c r="Z23" s="341"/>
      <c r="AA23" s="341"/>
      <c r="AB23" s="341"/>
      <c r="AC23" s="341"/>
      <c r="AD23" s="341"/>
      <c r="AE23" s="341"/>
      <c r="AF23" s="341"/>
      <c r="AG23" s="341"/>
      <c r="AH23" s="341"/>
      <c r="AI23" s="341"/>
      <c r="AJ23" s="341"/>
      <c r="AK23" s="341"/>
      <c r="AL23" s="341"/>
      <c r="AM23" s="341"/>
      <c r="AN23" s="341"/>
      <c r="AO23" s="341"/>
      <c r="AP23" s="186">
        <f t="shared" si="5"/>
        <v>0</v>
      </c>
      <c r="AQ23" s="267">
        <f t="shared" si="6"/>
        <v>0</v>
      </c>
      <c r="AR23" s="267">
        <f t="shared" si="7"/>
        <v>0</v>
      </c>
      <c r="AS23" s="340">
        <f t="shared" si="8"/>
        <v>0</v>
      </c>
    </row>
    <row r="24" spans="1:45">
      <c r="A24" s="350" t="s">
        <v>1276</v>
      </c>
      <c r="B24" s="170"/>
      <c r="C24" s="170"/>
      <c r="D24" s="170"/>
      <c r="E24" s="170"/>
      <c r="F24" s="170"/>
      <c r="G24" s="170"/>
      <c r="H24" s="170"/>
      <c r="I24" s="170"/>
      <c r="J24" s="341"/>
      <c r="K24" s="341"/>
      <c r="L24" s="341"/>
      <c r="M24" s="341"/>
      <c r="N24" s="341"/>
      <c r="O24" s="341"/>
      <c r="P24" s="341"/>
      <c r="Q24" s="341"/>
      <c r="R24" s="341"/>
      <c r="S24" s="341"/>
      <c r="T24" s="341"/>
      <c r="U24" s="341"/>
      <c r="V24" s="341"/>
      <c r="W24" s="341"/>
      <c r="X24" s="341"/>
      <c r="Y24" s="341"/>
      <c r="Z24" s="341"/>
      <c r="AA24" s="341"/>
      <c r="AB24" s="341"/>
      <c r="AC24" s="341"/>
      <c r="AD24" s="341"/>
      <c r="AE24" s="341"/>
      <c r="AF24" s="341"/>
      <c r="AG24" s="341"/>
      <c r="AH24" s="341"/>
      <c r="AI24" s="341"/>
      <c r="AJ24" s="341"/>
      <c r="AK24" s="341"/>
      <c r="AL24" s="341"/>
      <c r="AM24" s="341"/>
      <c r="AN24" s="341"/>
      <c r="AO24" s="341"/>
      <c r="AP24" s="186">
        <f t="shared" si="5"/>
        <v>0</v>
      </c>
      <c r="AQ24" s="267">
        <f t="shared" si="6"/>
        <v>0</v>
      </c>
      <c r="AR24" s="267">
        <f t="shared" si="7"/>
        <v>0</v>
      </c>
      <c r="AS24" s="340">
        <f t="shared" si="8"/>
        <v>0</v>
      </c>
    </row>
    <row r="25" spans="1:45">
      <c r="A25" s="90" t="s">
        <v>1275</v>
      </c>
      <c r="B25" s="170">
        <v>0</v>
      </c>
      <c r="C25" s="170">
        <v>0</v>
      </c>
      <c r="D25" s="170">
        <f>'Industry Assumptions'!$E$19*5*'Industry Assumptions'!$G$254</f>
        <v>8.1875000000000003E-2</v>
      </c>
      <c r="E25" s="170">
        <f>'Industry Assumptions'!$F$19*5*'Industry Assumptions'!$G$254</f>
        <v>8.1875</v>
      </c>
      <c r="F25" s="170">
        <f>'Industry Assumptions'!$E$19*5*'Industry Assumptions'!$G$254</f>
        <v>8.1875000000000003E-2</v>
      </c>
      <c r="G25" s="170">
        <f>'Industry Assumptions'!$F$19*5*'Industry Assumptions'!$G$254</f>
        <v>8.1875</v>
      </c>
      <c r="H25" s="170">
        <f>'Industry Assumptions'!$E$19*5*'Industry Assumptions'!$G$254</f>
        <v>8.1875000000000003E-2</v>
      </c>
      <c r="I25" s="170">
        <f>'Industry Assumptions'!$F$19*5*'Industry Assumptions'!$G$254</f>
        <v>8.1875</v>
      </c>
      <c r="J25" s="170">
        <f>'Industry Assumptions'!$E$19*5*'Industry Assumptions'!$G$254</f>
        <v>8.1875000000000003E-2</v>
      </c>
      <c r="K25" s="170">
        <f>'Industry Assumptions'!$F$19*5*'Industry Assumptions'!$G$254</f>
        <v>8.1875</v>
      </c>
      <c r="L25" s="170">
        <f>'Industry Assumptions'!$E$19*5*'Industry Assumptions'!$G$254</f>
        <v>8.1875000000000003E-2</v>
      </c>
      <c r="M25" s="170">
        <f>'Industry Assumptions'!$F$19*5*'Industry Assumptions'!$G$254</f>
        <v>8.1875</v>
      </c>
      <c r="N25" s="170">
        <f>'Industry Assumptions'!$E$19*5*'Industry Assumptions'!$G$254</f>
        <v>8.1875000000000003E-2</v>
      </c>
      <c r="O25" s="170">
        <f>'Industry Assumptions'!$F$19*5*'Industry Assumptions'!$G$254</f>
        <v>8.1875</v>
      </c>
      <c r="P25" s="170">
        <f>'Industry Assumptions'!$E$19*5*'Industry Assumptions'!$G$254</f>
        <v>8.1875000000000003E-2</v>
      </c>
      <c r="Q25" s="170">
        <f>'Industry Assumptions'!$F$19*5*'Industry Assumptions'!$G$254</f>
        <v>8.1875</v>
      </c>
      <c r="R25" s="170">
        <f>'Industry Assumptions'!$E$19*5*'Industry Assumptions'!$G$254</f>
        <v>8.1875000000000003E-2</v>
      </c>
      <c r="S25" s="170">
        <f>'Industry Assumptions'!$F$19*5*'Industry Assumptions'!$G$254</f>
        <v>8.1875</v>
      </c>
      <c r="T25" s="170">
        <f>'Industry Assumptions'!$E$19*5*'Industry Assumptions'!$G$254</f>
        <v>8.1875000000000003E-2</v>
      </c>
      <c r="U25" s="170">
        <f>'Industry Assumptions'!$F$19*5*'Industry Assumptions'!$G$254</f>
        <v>8.1875</v>
      </c>
      <c r="V25" s="170">
        <f>'Industry Assumptions'!$E$19*5*'Industry Assumptions'!$G$254</f>
        <v>8.1875000000000003E-2</v>
      </c>
      <c r="W25" s="170">
        <f>'Industry Assumptions'!$F$19*5*'Industry Assumptions'!$G$254</f>
        <v>8.1875</v>
      </c>
      <c r="X25" s="170">
        <f>'Industry Assumptions'!$E$19*5*'Industry Assumptions'!$G$254</f>
        <v>8.1875000000000003E-2</v>
      </c>
      <c r="Y25" s="170">
        <f>'Industry Assumptions'!$F$19*5*'Industry Assumptions'!$G$254</f>
        <v>8.1875</v>
      </c>
      <c r="Z25" s="170">
        <f>'Industry Assumptions'!$E$19*5*'Industry Assumptions'!$G$254</f>
        <v>8.1875000000000003E-2</v>
      </c>
      <c r="AA25" s="170">
        <f>'Industry Assumptions'!$F$19*5*'Industry Assumptions'!$G$254</f>
        <v>8.1875</v>
      </c>
      <c r="AB25" s="170">
        <f>'Industry Assumptions'!$E$19*5*'Industry Assumptions'!$G$254</f>
        <v>8.1875000000000003E-2</v>
      </c>
      <c r="AC25" s="170">
        <f>'Industry Assumptions'!$F$19*5*'Industry Assumptions'!$G$254</f>
        <v>8.1875</v>
      </c>
      <c r="AD25" s="170">
        <f>'Industry Assumptions'!$E$19*5*'Industry Assumptions'!$G$254</f>
        <v>8.1875000000000003E-2</v>
      </c>
      <c r="AE25" s="170">
        <f>'Industry Assumptions'!$F$19*5*'Industry Assumptions'!$G$254</f>
        <v>8.1875</v>
      </c>
      <c r="AF25" s="170">
        <f>'Industry Assumptions'!$E$19*5*'Industry Assumptions'!$G$254</f>
        <v>8.1875000000000003E-2</v>
      </c>
      <c r="AG25" s="170">
        <f>'Industry Assumptions'!$F$19*5*'Industry Assumptions'!$G$254</f>
        <v>8.1875</v>
      </c>
      <c r="AH25" s="170">
        <f>'Industry Assumptions'!$E$19*5*'Industry Assumptions'!$G$254</f>
        <v>8.1875000000000003E-2</v>
      </c>
      <c r="AI25" s="170">
        <f>'Industry Assumptions'!$F$19*5*'Industry Assumptions'!$G$254</f>
        <v>8.1875</v>
      </c>
      <c r="AJ25" s="170">
        <f>'Industry Assumptions'!$E$19*5*'Industry Assumptions'!$G$254</f>
        <v>8.1875000000000003E-2</v>
      </c>
      <c r="AK25" s="170">
        <f>'Industry Assumptions'!$F$19*5*'Industry Assumptions'!$G$254</f>
        <v>8.1875</v>
      </c>
      <c r="AL25" s="170">
        <f>'Industry Assumptions'!$E$19*5*'Industry Assumptions'!$G$254</f>
        <v>8.1875000000000003E-2</v>
      </c>
      <c r="AM25" s="170">
        <f>'Industry Assumptions'!$F$19*5*'Industry Assumptions'!$G$254</f>
        <v>8.1875</v>
      </c>
      <c r="AN25" s="170">
        <f>'Industry Assumptions'!$E$19*5*'Industry Assumptions'!$G$254</f>
        <v>8.1875000000000003E-2</v>
      </c>
      <c r="AO25" s="170">
        <f>'Industry Assumptions'!$F$19*5*'Industry Assumptions'!$G$254</f>
        <v>8.1875</v>
      </c>
      <c r="AP25" s="186">
        <f t="shared" si="5"/>
        <v>1.5556249999999998</v>
      </c>
      <c r="AQ25" s="267">
        <f t="shared" si="6"/>
        <v>155.5625</v>
      </c>
      <c r="AR25" s="267">
        <f t="shared" si="7"/>
        <v>7.7781249999999996E-2</v>
      </c>
      <c r="AS25" s="340">
        <f t="shared" si="8"/>
        <v>7.7781250000000002</v>
      </c>
    </row>
    <row r="26" spans="1:45">
      <c r="A26" s="90"/>
      <c r="B26" s="170"/>
      <c r="C26" s="170"/>
      <c r="D26" s="170"/>
      <c r="E26" s="170"/>
      <c r="F26" s="170"/>
      <c r="G26" s="170"/>
      <c r="H26" s="170"/>
      <c r="I26" s="170"/>
      <c r="J26" s="341"/>
      <c r="K26" s="341"/>
      <c r="L26" s="341"/>
      <c r="M26" s="341"/>
      <c r="N26" s="341"/>
      <c r="O26" s="341"/>
      <c r="P26" s="341"/>
      <c r="Q26" s="341"/>
      <c r="R26" s="341"/>
      <c r="S26" s="341"/>
      <c r="T26" s="341"/>
      <c r="U26" s="341"/>
      <c r="V26" s="341"/>
      <c r="W26" s="341"/>
      <c r="X26" s="341"/>
      <c r="Y26" s="341"/>
      <c r="Z26" s="341"/>
      <c r="AA26" s="341"/>
      <c r="AB26" s="341"/>
      <c r="AC26" s="341"/>
      <c r="AD26" s="341"/>
      <c r="AE26" s="341"/>
      <c r="AF26" s="341"/>
      <c r="AG26" s="341"/>
      <c r="AH26" s="341"/>
      <c r="AI26" s="341"/>
      <c r="AJ26" s="341"/>
      <c r="AK26" s="341"/>
      <c r="AL26" s="341"/>
      <c r="AM26" s="341"/>
      <c r="AN26" s="341"/>
      <c r="AO26" s="341"/>
      <c r="AP26" s="186">
        <f t="shared" si="5"/>
        <v>0</v>
      </c>
      <c r="AQ26" s="267">
        <f t="shared" si="6"/>
        <v>0</v>
      </c>
      <c r="AR26" s="267">
        <f t="shared" si="7"/>
        <v>0</v>
      </c>
      <c r="AS26" s="340">
        <f t="shared" si="8"/>
        <v>0</v>
      </c>
    </row>
    <row r="27" spans="1:45">
      <c r="A27" s="350" t="s">
        <v>1264</v>
      </c>
      <c r="B27" s="170"/>
      <c r="C27" s="170"/>
      <c r="D27" s="170"/>
      <c r="E27" s="170"/>
      <c r="F27" s="170"/>
      <c r="G27" s="170"/>
      <c r="H27" s="170"/>
      <c r="I27" s="170"/>
      <c r="J27" s="341"/>
      <c r="K27" s="341"/>
      <c r="L27" s="341"/>
      <c r="M27" s="341"/>
      <c r="N27" s="341"/>
      <c r="O27" s="341"/>
      <c r="P27" s="341"/>
      <c r="Q27" s="341"/>
      <c r="R27" s="341"/>
      <c r="S27" s="341"/>
      <c r="T27" s="341"/>
      <c r="U27" s="341"/>
      <c r="V27" s="341"/>
      <c r="W27" s="341"/>
      <c r="X27" s="341"/>
      <c r="Y27" s="341"/>
      <c r="Z27" s="341"/>
      <c r="AA27" s="341"/>
      <c r="AB27" s="341"/>
      <c r="AC27" s="341"/>
      <c r="AD27" s="341"/>
      <c r="AE27" s="341"/>
      <c r="AF27" s="341"/>
      <c r="AG27" s="341"/>
      <c r="AH27" s="341"/>
      <c r="AI27" s="341"/>
      <c r="AJ27" s="341"/>
      <c r="AK27" s="341"/>
      <c r="AL27" s="341"/>
      <c r="AM27" s="341"/>
      <c r="AN27" s="341"/>
      <c r="AO27" s="341"/>
      <c r="AP27" s="186">
        <f t="shared" si="5"/>
        <v>0</v>
      </c>
      <c r="AQ27" s="267">
        <f t="shared" si="6"/>
        <v>0</v>
      </c>
      <c r="AR27" s="267">
        <f t="shared" si="7"/>
        <v>0</v>
      </c>
      <c r="AS27" s="340">
        <f t="shared" si="8"/>
        <v>0</v>
      </c>
    </row>
    <row r="28" spans="1:45">
      <c r="A28" s="90" t="s">
        <v>1277</v>
      </c>
      <c r="B28" s="170">
        <v>0</v>
      </c>
      <c r="C28" s="170">
        <v>0</v>
      </c>
      <c r="D28" s="170">
        <f>'Industry Assumptions'!$E$21*2*'Industry Assumptions'!$H$254</f>
        <v>1.3100000000000001E-2</v>
      </c>
      <c r="E28" s="170">
        <f>'Industry Assumptions'!$F$21*2*'Industry Assumptions'!$H$254</f>
        <v>9.8250000000000004E-2</v>
      </c>
      <c r="F28" s="170">
        <f>'Industry Assumptions'!$E$21*2*'Industry Assumptions'!$H$254</f>
        <v>1.3100000000000001E-2</v>
      </c>
      <c r="G28" s="170">
        <f>'Industry Assumptions'!$F$21*2*'Industry Assumptions'!$H$254</f>
        <v>9.8250000000000004E-2</v>
      </c>
      <c r="H28" s="170">
        <f>'Industry Assumptions'!$E$21*2*'Industry Assumptions'!$H$254</f>
        <v>1.3100000000000001E-2</v>
      </c>
      <c r="I28" s="170">
        <f>'Industry Assumptions'!$F$21*2*'Industry Assumptions'!$H$254</f>
        <v>9.8250000000000004E-2</v>
      </c>
      <c r="J28" s="170">
        <f>'Industry Assumptions'!$E$21*2*'Industry Assumptions'!$H$254</f>
        <v>1.3100000000000001E-2</v>
      </c>
      <c r="K28" s="170">
        <f>'Industry Assumptions'!$F$21*2*'Industry Assumptions'!$H$254</f>
        <v>9.8250000000000004E-2</v>
      </c>
      <c r="L28" s="170">
        <f>'Industry Assumptions'!$E$21*2*'Industry Assumptions'!$H$254</f>
        <v>1.3100000000000001E-2</v>
      </c>
      <c r="M28" s="170">
        <f>'Industry Assumptions'!$F$21*2*'Industry Assumptions'!$H$254</f>
        <v>9.8250000000000004E-2</v>
      </c>
      <c r="N28" s="170">
        <f>'Industry Assumptions'!$E$21*2*'Industry Assumptions'!$H$254</f>
        <v>1.3100000000000001E-2</v>
      </c>
      <c r="O28" s="170">
        <f>'Industry Assumptions'!$F$21*2*'Industry Assumptions'!$H$254</f>
        <v>9.8250000000000004E-2</v>
      </c>
      <c r="P28" s="170">
        <f>'Industry Assumptions'!$E$21*2*'Industry Assumptions'!$H$254</f>
        <v>1.3100000000000001E-2</v>
      </c>
      <c r="Q28" s="170">
        <f>'Industry Assumptions'!$F$21*2*'Industry Assumptions'!$H$254</f>
        <v>9.8250000000000004E-2</v>
      </c>
      <c r="R28" s="170">
        <f>'Industry Assumptions'!$E$21*2*'Industry Assumptions'!$H$254</f>
        <v>1.3100000000000001E-2</v>
      </c>
      <c r="S28" s="170">
        <f>'Industry Assumptions'!$F$21*2*'Industry Assumptions'!$H$254</f>
        <v>9.8250000000000004E-2</v>
      </c>
      <c r="T28" s="170">
        <f>'Industry Assumptions'!$E$21*2*'Industry Assumptions'!$H$254</f>
        <v>1.3100000000000001E-2</v>
      </c>
      <c r="U28" s="170">
        <f>'Industry Assumptions'!$F$21*2*'Industry Assumptions'!$H$254</f>
        <v>9.8250000000000004E-2</v>
      </c>
      <c r="V28" s="170">
        <f>'Industry Assumptions'!$E$21*2*'Industry Assumptions'!$H$254</f>
        <v>1.3100000000000001E-2</v>
      </c>
      <c r="W28" s="170">
        <f>'Industry Assumptions'!$F$21*2*'Industry Assumptions'!$H$254</f>
        <v>9.8250000000000004E-2</v>
      </c>
      <c r="X28" s="170">
        <f>'Industry Assumptions'!$E$21*2*'Industry Assumptions'!$H$254</f>
        <v>1.3100000000000001E-2</v>
      </c>
      <c r="Y28" s="170">
        <f>'Industry Assumptions'!$F$21*2*'Industry Assumptions'!$H$254</f>
        <v>9.8250000000000004E-2</v>
      </c>
      <c r="Z28" s="170">
        <f>'Industry Assumptions'!$E$21*2*'Industry Assumptions'!$H$254</f>
        <v>1.3100000000000001E-2</v>
      </c>
      <c r="AA28" s="170">
        <f>'Industry Assumptions'!$F$21*2*'Industry Assumptions'!$H$254</f>
        <v>9.8250000000000004E-2</v>
      </c>
      <c r="AB28" s="170">
        <f>'Industry Assumptions'!$E$21*2*'Industry Assumptions'!$H$254</f>
        <v>1.3100000000000001E-2</v>
      </c>
      <c r="AC28" s="170">
        <f>'Industry Assumptions'!$F$21*2*'Industry Assumptions'!$H$254</f>
        <v>9.8250000000000004E-2</v>
      </c>
      <c r="AD28" s="170">
        <f>'Industry Assumptions'!$E$21*2*'Industry Assumptions'!$H$254</f>
        <v>1.3100000000000001E-2</v>
      </c>
      <c r="AE28" s="170">
        <f>'Industry Assumptions'!$F$21*2*'Industry Assumptions'!$H$254</f>
        <v>9.8250000000000004E-2</v>
      </c>
      <c r="AF28" s="170">
        <f>'Industry Assumptions'!$E$21*2*'Industry Assumptions'!$H$254</f>
        <v>1.3100000000000001E-2</v>
      </c>
      <c r="AG28" s="170">
        <f>'Industry Assumptions'!$F$21*2*'Industry Assumptions'!$H$254</f>
        <v>9.8250000000000004E-2</v>
      </c>
      <c r="AH28" s="170">
        <f>'Industry Assumptions'!$E$21*2*'Industry Assumptions'!$H$254</f>
        <v>1.3100000000000001E-2</v>
      </c>
      <c r="AI28" s="170">
        <f>'Industry Assumptions'!$F$21*2*'Industry Assumptions'!$H$254</f>
        <v>9.8250000000000004E-2</v>
      </c>
      <c r="AJ28" s="170">
        <f>'Industry Assumptions'!$E$21*2*'Industry Assumptions'!$H$254</f>
        <v>1.3100000000000001E-2</v>
      </c>
      <c r="AK28" s="170">
        <f>'Industry Assumptions'!$F$21*2*'Industry Assumptions'!$H$254</f>
        <v>9.8250000000000004E-2</v>
      </c>
      <c r="AL28" s="170">
        <f>'Industry Assumptions'!$E$21*2*'Industry Assumptions'!$H$254</f>
        <v>1.3100000000000001E-2</v>
      </c>
      <c r="AM28" s="170">
        <f>'Industry Assumptions'!$F$21*2*'Industry Assumptions'!$H$254</f>
        <v>9.8250000000000004E-2</v>
      </c>
      <c r="AN28" s="170">
        <f>'Industry Assumptions'!$E$21*2*'Industry Assumptions'!$H$254</f>
        <v>1.3100000000000001E-2</v>
      </c>
      <c r="AO28" s="170">
        <f>'Industry Assumptions'!$F$21*2*'Industry Assumptions'!$H$254</f>
        <v>9.8250000000000004E-2</v>
      </c>
      <c r="AP28" s="186">
        <f t="shared" si="5"/>
        <v>0.24890000000000001</v>
      </c>
      <c r="AQ28" s="267">
        <f t="shared" si="6"/>
        <v>1.8667499999999995</v>
      </c>
      <c r="AR28" s="267">
        <f t="shared" si="7"/>
        <v>1.2445000000000001E-2</v>
      </c>
      <c r="AS28" s="340">
        <f t="shared" si="8"/>
        <v>9.3337499999999976E-2</v>
      </c>
    </row>
    <row r="29" spans="1:45">
      <c r="A29" s="90" t="s">
        <v>1278</v>
      </c>
      <c r="B29" s="170">
        <v>0</v>
      </c>
      <c r="C29" s="170">
        <v>0</v>
      </c>
      <c r="D29" s="170">
        <f>'Industry Assumptions'!$E$22*2*'Industry Assumptions'!$H$254</f>
        <v>6.5500000000000003E-3</v>
      </c>
      <c r="E29" s="170">
        <f>'Industry Assumptions'!$F$22*2*'Industry Assumptions'!$H$254</f>
        <v>1.3100000000000001E-2</v>
      </c>
      <c r="F29" s="170">
        <f>'Industry Assumptions'!$E$22*2*'Industry Assumptions'!$H$254</f>
        <v>6.5500000000000003E-3</v>
      </c>
      <c r="G29" s="170">
        <f>'Industry Assumptions'!$F$22*2*'Industry Assumptions'!$H$254</f>
        <v>1.3100000000000001E-2</v>
      </c>
      <c r="H29" s="170">
        <f>'Industry Assumptions'!$E$22*2*'Industry Assumptions'!$H$254</f>
        <v>6.5500000000000003E-3</v>
      </c>
      <c r="I29" s="170">
        <f>'Industry Assumptions'!$F$22*2*'Industry Assumptions'!$H$254</f>
        <v>1.3100000000000001E-2</v>
      </c>
      <c r="J29" s="170">
        <f>'Industry Assumptions'!$E$22*2*'Industry Assumptions'!$H$254</f>
        <v>6.5500000000000003E-3</v>
      </c>
      <c r="K29" s="170">
        <f>'Industry Assumptions'!$F$22*2*'Industry Assumptions'!$H$254</f>
        <v>1.3100000000000001E-2</v>
      </c>
      <c r="L29" s="170">
        <f>'Industry Assumptions'!$E$22*2*'Industry Assumptions'!$H$254</f>
        <v>6.5500000000000003E-3</v>
      </c>
      <c r="M29" s="170">
        <f>'Industry Assumptions'!$F$22*2*'Industry Assumptions'!$H$254</f>
        <v>1.3100000000000001E-2</v>
      </c>
      <c r="N29" s="170">
        <f>'Industry Assumptions'!$E$22*2*'Industry Assumptions'!$H$254</f>
        <v>6.5500000000000003E-3</v>
      </c>
      <c r="O29" s="170">
        <f>'Industry Assumptions'!$F$22*2*'Industry Assumptions'!$H$254</f>
        <v>1.3100000000000001E-2</v>
      </c>
      <c r="P29" s="170">
        <f>'Industry Assumptions'!$E$22*2*'Industry Assumptions'!$H$254</f>
        <v>6.5500000000000003E-3</v>
      </c>
      <c r="Q29" s="170">
        <f>'Industry Assumptions'!$F$22*2*'Industry Assumptions'!$H$254</f>
        <v>1.3100000000000001E-2</v>
      </c>
      <c r="R29" s="170">
        <f>'Industry Assumptions'!$E$22*2*'Industry Assumptions'!$H$254</f>
        <v>6.5500000000000003E-3</v>
      </c>
      <c r="S29" s="170">
        <f>'Industry Assumptions'!$F$22*2*'Industry Assumptions'!$H$254</f>
        <v>1.3100000000000001E-2</v>
      </c>
      <c r="T29" s="170">
        <f>'Industry Assumptions'!$E$22*2*'Industry Assumptions'!$H$254</f>
        <v>6.5500000000000003E-3</v>
      </c>
      <c r="U29" s="170">
        <f>'Industry Assumptions'!$F$22*2*'Industry Assumptions'!$H$254</f>
        <v>1.3100000000000001E-2</v>
      </c>
      <c r="V29" s="170">
        <f>'Industry Assumptions'!$E$22*2*'Industry Assumptions'!$H$254</f>
        <v>6.5500000000000003E-3</v>
      </c>
      <c r="W29" s="170">
        <f>'Industry Assumptions'!$F$22*2*'Industry Assumptions'!$H$254</f>
        <v>1.3100000000000001E-2</v>
      </c>
      <c r="X29" s="170">
        <f>'Industry Assumptions'!$E$22*2*'Industry Assumptions'!$H$254</f>
        <v>6.5500000000000003E-3</v>
      </c>
      <c r="Y29" s="170">
        <f>'Industry Assumptions'!$F$22*2*'Industry Assumptions'!$H$254</f>
        <v>1.3100000000000001E-2</v>
      </c>
      <c r="Z29" s="170">
        <f>'Industry Assumptions'!$E$22*2*'Industry Assumptions'!$H$254</f>
        <v>6.5500000000000003E-3</v>
      </c>
      <c r="AA29" s="170">
        <f>'Industry Assumptions'!$F$22*2*'Industry Assumptions'!$H$254</f>
        <v>1.3100000000000001E-2</v>
      </c>
      <c r="AB29" s="170">
        <f>'Industry Assumptions'!$E$22*2*'Industry Assumptions'!$H$254</f>
        <v>6.5500000000000003E-3</v>
      </c>
      <c r="AC29" s="170">
        <f>'Industry Assumptions'!$F$22*2*'Industry Assumptions'!$H$254</f>
        <v>1.3100000000000001E-2</v>
      </c>
      <c r="AD29" s="170">
        <f>'Industry Assumptions'!$E$22*2*'Industry Assumptions'!$H$254</f>
        <v>6.5500000000000003E-3</v>
      </c>
      <c r="AE29" s="170">
        <f>'Industry Assumptions'!$F$22*2*'Industry Assumptions'!$H$254</f>
        <v>1.3100000000000001E-2</v>
      </c>
      <c r="AF29" s="170">
        <f>'Industry Assumptions'!$E$22*2*'Industry Assumptions'!$H$254</f>
        <v>6.5500000000000003E-3</v>
      </c>
      <c r="AG29" s="170">
        <f>'Industry Assumptions'!$F$22*2*'Industry Assumptions'!$H$254</f>
        <v>1.3100000000000001E-2</v>
      </c>
      <c r="AH29" s="170">
        <f>'Industry Assumptions'!$E$22*2*'Industry Assumptions'!$H$254</f>
        <v>6.5500000000000003E-3</v>
      </c>
      <c r="AI29" s="170">
        <f>'Industry Assumptions'!$F$22*2*'Industry Assumptions'!$H$254</f>
        <v>1.3100000000000001E-2</v>
      </c>
      <c r="AJ29" s="170">
        <f>'Industry Assumptions'!$E$22*2*'Industry Assumptions'!$H$254</f>
        <v>6.5500000000000003E-3</v>
      </c>
      <c r="AK29" s="170">
        <f>'Industry Assumptions'!$F$22*2*'Industry Assumptions'!$H$254</f>
        <v>1.3100000000000001E-2</v>
      </c>
      <c r="AL29" s="170">
        <f>'Industry Assumptions'!$E$22*2*'Industry Assumptions'!$H$254</f>
        <v>6.5500000000000003E-3</v>
      </c>
      <c r="AM29" s="170">
        <f>'Industry Assumptions'!$F$22*2*'Industry Assumptions'!$H$254</f>
        <v>1.3100000000000001E-2</v>
      </c>
      <c r="AN29" s="170">
        <f>'Industry Assumptions'!$E$22*2*'Industry Assumptions'!$H$254</f>
        <v>6.5500000000000003E-3</v>
      </c>
      <c r="AO29" s="170">
        <f>'Industry Assumptions'!$F$22*2*'Industry Assumptions'!$H$254</f>
        <v>1.3100000000000001E-2</v>
      </c>
      <c r="AP29" s="186">
        <f t="shared" si="5"/>
        <v>0.12445000000000001</v>
      </c>
      <c r="AQ29" s="267">
        <f t="shared" si="6"/>
        <v>0.24890000000000001</v>
      </c>
      <c r="AR29" s="267">
        <f t="shared" si="7"/>
        <v>6.2225000000000006E-3</v>
      </c>
      <c r="AS29" s="340">
        <f t="shared" si="8"/>
        <v>1.2445000000000001E-2</v>
      </c>
    </row>
    <row r="30" spans="1:45" ht="25.5">
      <c r="A30" s="90" t="s">
        <v>1279</v>
      </c>
      <c r="B30" s="170">
        <v>0</v>
      </c>
      <c r="C30" s="170">
        <v>0</v>
      </c>
      <c r="D30" s="170">
        <f>'Industry Assumptions'!$E$23*'Industry Assumptions'!$I$254</f>
        <v>1.6375000000000001E-3</v>
      </c>
      <c r="E30" s="170">
        <f>'Industry Assumptions'!$F$23*'Industry Assumptions'!$I$254</f>
        <v>9.8250000000000004E-3</v>
      </c>
      <c r="F30" s="170">
        <f>'Industry Assumptions'!$E$23*'Industry Assumptions'!$I$254</f>
        <v>1.6375000000000001E-3</v>
      </c>
      <c r="G30" s="170">
        <f>'Industry Assumptions'!$F$23*'Industry Assumptions'!$I$254</f>
        <v>9.8250000000000004E-3</v>
      </c>
      <c r="H30" s="170">
        <f>'Industry Assumptions'!$E$23*'Industry Assumptions'!$I$254</f>
        <v>1.6375000000000001E-3</v>
      </c>
      <c r="I30" s="170">
        <f>'Industry Assumptions'!$F$23*'Industry Assumptions'!$I$254</f>
        <v>9.8250000000000004E-3</v>
      </c>
      <c r="J30" s="170">
        <f>'Industry Assumptions'!$E$23*'Industry Assumptions'!$I$254</f>
        <v>1.6375000000000001E-3</v>
      </c>
      <c r="K30" s="170">
        <f>'Industry Assumptions'!$F$23*'Industry Assumptions'!$I$254</f>
        <v>9.8250000000000004E-3</v>
      </c>
      <c r="L30" s="170">
        <f>'Industry Assumptions'!$E$23*'Industry Assumptions'!$I$254</f>
        <v>1.6375000000000001E-3</v>
      </c>
      <c r="M30" s="170">
        <f>'Industry Assumptions'!$F$23*'Industry Assumptions'!$I$254</f>
        <v>9.8250000000000004E-3</v>
      </c>
      <c r="N30" s="170">
        <f>'Industry Assumptions'!$E$23*'Industry Assumptions'!$I$254</f>
        <v>1.6375000000000001E-3</v>
      </c>
      <c r="O30" s="170">
        <f>'Industry Assumptions'!$F$23*'Industry Assumptions'!$I$254</f>
        <v>9.8250000000000004E-3</v>
      </c>
      <c r="P30" s="170">
        <f>'Industry Assumptions'!$E$23*'Industry Assumptions'!$I$254</f>
        <v>1.6375000000000001E-3</v>
      </c>
      <c r="Q30" s="170">
        <f>'Industry Assumptions'!$F$23*'Industry Assumptions'!$I$254</f>
        <v>9.8250000000000004E-3</v>
      </c>
      <c r="R30" s="170">
        <f>'Industry Assumptions'!$E$23*'Industry Assumptions'!$I$254</f>
        <v>1.6375000000000001E-3</v>
      </c>
      <c r="S30" s="170">
        <f>'Industry Assumptions'!$F$23*'Industry Assumptions'!$I$254</f>
        <v>9.8250000000000004E-3</v>
      </c>
      <c r="T30" s="170">
        <f>'Industry Assumptions'!$E$23*'Industry Assumptions'!$I$254</f>
        <v>1.6375000000000001E-3</v>
      </c>
      <c r="U30" s="170">
        <f>'Industry Assumptions'!$F$23*'Industry Assumptions'!$I$254</f>
        <v>9.8250000000000004E-3</v>
      </c>
      <c r="V30" s="170">
        <f>'Industry Assumptions'!$E$23*'Industry Assumptions'!$I$254</f>
        <v>1.6375000000000001E-3</v>
      </c>
      <c r="W30" s="170">
        <f>'Industry Assumptions'!$F$23*'Industry Assumptions'!$I$254</f>
        <v>9.8250000000000004E-3</v>
      </c>
      <c r="X30" s="170">
        <f>'Industry Assumptions'!$E$23*'Industry Assumptions'!$I$254</f>
        <v>1.6375000000000001E-3</v>
      </c>
      <c r="Y30" s="170">
        <f>'Industry Assumptions'!$F$23*'Industry Assumptions'!$I$254</f>
        <v>9.8250000000000004E-3</v>
      </c>
      <c r="Z30" s="170">
        <f>'Industry Assumptions'!$E$23*'Industry Assumptions'!$I$254</f>
        <v>1.6375000000000001E-3</v>
      </c>
      <c r="AA30" s="170">
        <f>'Industry Assumptions'!$F$23*'Industry Assumptions'!$I$254</f>
        <v>9.8250000000000004E-3</v>
      </c>
      <c r="AB30" s="170">
        <f>'Industry Assumptions'!$E$23*'Industry Assumptions'!$I$254</f>
        <v>1.6375000000000001E-3</v>
      </c>
      <c r="AC30" s="170">
        <f>'Industry Assumptions'!$F$23*'Industry Assumptions'!$I$254</f>
        <v>9.8250000000000004E-3</v>
      </c>
      <c r="AD30" s="170">
        <f>'Industry Assumptions'!$E$23*'Industry Assumptions'!$I$254</f>
        <v>1.6375000000000001E-3</v>
      </c>
      <c r="AE30" s="170">
        <f>'Industry Assumptions'!$F$23*'Industry Assumptions'!$I$254</f>
        <v>9.8250000000000004E-3</v>
      </c>
      <c r="AF30" s="170">
        <f>'Industry Assumptions'!$E$23*'Industry Assumptions'!$I$254</f>
        <v>1.6375000000000001E-3</v>
      </c>
      <c r="AG30" s="170">
        <f>'Industry Assumptions'!$F$23*'Industry Assumptions'!$I$254</f>
        <v>9.8250000000000004E-3</v>
      </c>
      <c r="AH30" s="170">
        <f>'Industry Assumptions'!$E$23*'Industry Assumptions'!$I$254</f>
        <v>1.6375000000000001E-3</v>
      </c>
      <c r="AI30" s="170">
        <f>'Industry Assumptions'!$F$23*'Industry Assumptions'!$I$254</f>
        <v>9.8250000000000004E-3</v>
      </c>
      <c r="AJ30" s="170">
        <f>'Industry Assumptions'!$E$23*'Industry Assumptions'!$I$254</f>
        <v>1.6375000000000001E-3</v>
      </c>
      <c r="AK30" s="170">
        <f>'Industry Assumptions'!$F$23*'Industry Assumptions'!$I$254</f>
        <v>9.8250000000000004E-3</v>
      </c>
      <c r="AL30" s="170">
        <f>'Industry Assumptions'!$E$23*'Industry Assumptions'!$I$254</f>
        <v>1.6375000000000001E-3</v>
      </c>
      <c r="AM30" s="170">
        <f>'Industry Assumptions'!$F$23*'Industry Assumptions'!$I$254</f>
        <v>9.8250000000000004E-3</v>
      </c>
      <c r="AN30" s="170">
        <f>'Industry Assumptions'!$E$23*'Industry Assumptions'!$I$254</f>
        <v>1.6375000000000001E-3</v>
      </c>
      <c r="AO30" s="170">
        <f>'Industry Assumptions'!$F$23*'Industry Assumptions'!$I$254</f>
        <v>9.8250000000000004E-3</v>
      </c>
      <c r="AP30" s="186">
        <f t="shared" si="5"/>
        <v>3.1112500000000001E-2</v>
      </c>
      <c r="AQ30" s="267">
        <f t="shared" si="6"/>
        <v>0.18667500000000001</v>
      </c>
      <c r="AR30" s="267">
        <f t="shared" si="7"/>
        <v>1.5556250000000002E-3</v>
      </c>
      <c r="AS30" s="340">
        <f t="shared" si="8"/>
        <v>9.33375E-3</v>
      </c>
    </row>
    <row r="31" spans="1:45" ht="25.5">
      <c r="A31" s="90" t="s">
        <v>1280</v>
      </c>
      <c r="B31" s="170">
        <v>0</v>
      </c>
      <c r="C31" s="170">
        <v>0</v>
      </c>
      <c r="D31" s="170">
        <f>'Industry Assumptions'!$E$24*2*'Industry Assumptions'!$H$254</f>
        <v>1.3100000000000001E-2</v>
      </c>
      <c r="E31" s="170">
        <f>'Industry Assumptions'!$F$24*2*'Industry Assumptions'!$H$254</f>
        <v>0.13100000000000001</v>
      </c>
      <c r="F31" s="170">
        <f>'Industry Assumptions'!$E$24*2*'Industry Assumptions'!$H$254</f>
        <v>1.3100000000000001E-2</v>
      </c>
      <c r="G31" s="170">
        <f>'Industry Assumptions'!$F$24*2*'Industry Assumptions'!$H$254</f>
        <v>0.13100000000000001</v>
      </c>
      <c r="H31" s="170">
        <f>'Industry Assumptions'!$E$24*2*'Industry Assumptions'!$H$254</f>
        <v>1.3100000000000001E-2</v>
      </c>
      <c r="I31" s="170">
        <f>'Industry Assumptions'!$F$24*2*'Industry Assumptions'!$H$254</f>
        <v>0.13100000000000001</v>
      </c>
      <c r="J31" s="170">
        <f>'Industry Assumptions'!$E$24*2*'Industry Assumptions'!$H$254</f>
        <v>1.3100000000000001E-2</v>
      </c>
      <c r="K31" s="170">
        <f>'Industry Assumptions'!$F$24*2*'Industry Assumptions'!$H$254</f>
        <v>0.13100000000000001</v>
      </c>
      <c r="L31" s="170">
        <f>'Industry Assumptions'!$E$24*2*'Industry Assumptions'!$H$254</f>
        <v>1.3100000000000001E-2</v>
      </c>
      <c r="M31" s="170">
        <f>'Industry Assumptions'!$F$24*2*'Industry Assumptions'!$H$254</f>
        <v>0.13100000000000001</v>
      </c>
      <c r="N31" s="170">
        <f>'Industry Assumptions'!$E$24*2*'Industry Assumptions'!$H$254</f>
        <v>1.3100000000000001E-2</v>
      </c>
      <c r="O31" s="170">
        <f>'Industry Assumptions'!$F$24*2*'Industry Assumptions'!$H$254</f>
        <v>0.13100000000000001</v>
      </c>
      <c r="P31" s="170">
        <f>'Industry Assumptions'!$E$24*2*'Industry Assumptions'!$H$254</f>
        <v>1.3100000000000001E-2</v>
      </c>
      <c r="Q31" s="170">
        <f>'Industry Assumptions'!$F$24*2*'Industry Assumptions'!$H$254</f>
        <v>0.13100000000000001</v>
      </c>
      <c r="R31" s="170">
        <f>'Industry Assumptions'!$E$24*2*'Industry Assumptions'!$H$254</f>
        <v>1.3100000000000001E-2</v>
      </c>
      <c r="S31" s="170">
        <f>'Industry Assumptions'!$F$24*2*'Industry Assumptions'!$H$254</f>
        <v>0.13100000000000001</v>
      </c>
      <c r="T31" s="170">
        <f>'Industry Assumptions'!$E$24*2*'Industry Assumptions'!$H$254</f>
        <v>1.3100000000000001E-2</v>
      </c>
      <c r="U31" s="170">
        <f>'Industry Assumptions'!$F$24*2*'Industry Assumptions'!$H$254</f>
        <v>0.13100000000000001</v>
      </c>
      <c r="V31" s="170">
        <f>'Industry Assumptions'!$E$24*2*'Industry Assumptions'!$H$254</f>
        <v>1.3100000000000001E-2</v>
      </c>
      <c r="W31" s="170">
        <f>'Industry Assumptions'!$F$24*2*'Industry Assumptions'!$H$254</f>
        <v>0.13100000000000001</v>
      </c>
      <c r="X31" s="170">
        <f>'Industry Assumptions'!$E$24*2*'Industry Assumptions'!$H$254</f>
        <v>1.3100000000000001E-2</v>
      </c>
      <c r="Y31" s="170">
        <f>'Industry Assumptions'!$F$24*2*'Industry Assumptions'!$H$254</f>
        <v>0.13100000000000001</v>
      </c>
      <c r="Z31" s="170">
        <f>'Industry Assumptions'!$E$24*2*'Industry Assumptions'!$H$254</f>
        <v>1.3100000000000001E-2</v>
      </c>
      <c r="AA31" s="170">
        <f>'Industry Assumptions'!$F$24*2*'Industry Assumptions'!$H$254</f>
        <v>0.13100000000000001</v>
      </c>
      <c r="AB31" s="170">
        <f>'Industry Assumptions'!$E$24*2*'Industry Assumptions'!$H$254</f>
        <v>1.3100000000000001E-2</v>
      </c>
      <c r="AC31" s="170">
        <f>'Industry Assumptions'!$F$24*2*'Industry Assumptions'!$H$254</f>
        <v>0.13100000000000001</v>
      </c>
      <c r="AD31" s="170">
        <f>'Industry Assumptions'!$E$24*2*'Industry Assumptions'!$H$254</f>
        <v>1.3100000000000001E-2</v>
      </c>
      <c r="AE31" s="170">
        <f>'Industry Assumptions'!$F$24*2*'Industry Assumptions'!$H$254</f>
        <v>0.13100000000000001</v>
      </c>
      <c r="AF31" s="170">
        <f>'Industry Assumptions'!$E$24*2*'Industry Assumptions'!$H$254</f>
        <v>1.3100000000000001E-2</v>
      </c>
      <c r="AG31" s="170">
        <f>'Industry Assumptions'!$F$24*2*'Industry Assumptions'!$H$254</f>
        <v>0.13100000000000001</v>
      </c>
      <c r="AH31" s="170">
        <f>'Industry Assumptions'!$E$24*2*'Industry Assumptions'!$H$254</f>
        <v>1.3100000000000001E-2</v>
      </c>
      <c r="AI31" s="170">
        <f>'Industry Assumptions'!$F$24*2*'Industry Assumptions'!$H$254</f>
        <v>0.13100000000000001</v>
      </c>
      <c r="AJ31" s="170">
        <f>'Industry Assumptions'!$E$24*2*'Industry Assumptions'!$H$254</f>
        <v>1.3100000000000001E-2</v>
      </c>
      <c r="AK31" s="170">
        <f>'Industry Assumptions'!$F$24*2*'Industry Assumptions'!$H$254</f>
        <v>0.13100000000000001</v>
      </c>
      <c r="AL31" s="170">
        <f>'Industry Assumptions'!$E$24*2*'Industry Assumptions'!$H$254</f>
        <v>1.3100000000000001E-2</v>
      </c>
      <c r="AM31" s="170">
        <f>'Industry Assumptions'!$F$24*2*'Industry Assumptions'!$H$254</f>
        <v>0.13100000000000001</v>
      </c>
      <c r="AN31" s="170">
        <f>'Industry Assumptions'!$E$24*2*'Industry Assumptions'!$H$254</f>
        <v>1.3100000000000001E-2</v>
      </c>
      <c r="AO31" s="170">
        <f>'Industry Assumptions'!$F$24*2*'Industry Assumptions'!$H$254</f>
        <v>0.13100000000000001</v>
      </c>
      <c r="AP31" s="186">
        <f t="shared" si="5"/>
        <v>0.24890000000000001</v>
      </c>
      <c r="AQ31" s="267">
        <f t="shared" si="6"/>
        <v>2.4890000000000008</v>
      </c>
      <c r="AR31" s="267">
        <f t="shared" si="7"/>
        <v>1.2445000000000001E-2</v>
      </c>
      <c r="AS31" s="340">
        <f t="shared" si="8"/>
        <v>0.12445000000000003</v>
      </c>
    </row>
    <row r="32" spans="1:45">
      <c r="A32" s="90" t="s">
        <v>1281</v>
      </c>
      <c r="B32" s="170">
        <v>0</v>
      </c>
      <c r="C32" s="170">
        <v>0</v>
      </c>
      <c r="D32" s="170">
        <f>'Industry Assumptions'!$E$25*'Industry Assumptions'!$H$254</f>
        <v>6.5500000000000003E-3</v>
      </c>
      <c r="E32" s="170">
        <f>'Industry Assumptions'!$F$25*'Industry Assumptions'!$H$254</f>
        <v>6.5500000000000003E-2</v>
      </c>
      <c r="F32" s="170">
        <f>'Industry Assumptions'!$E$25*'Industry Assumptions'!$H$254</f>
        <v>6.5500000000000003E-3</v>
      </c>
      <c r="G32" s="170">
        <f>'Industry Assumptions'!$F$25*'Industry Assumptions'!$H$254</f>
        <v>6.5500000000000003E-2</v>
      </c>
      <c r="H32" s="170">
        <f>'Industry Assumptions'!$E$25*'Industry Assumptions'!$H$254</f>
        <v>6.5500000000000003E-3</v>
      </c>
      <c r="I32" s="170">
        <f>'Industry Assumptions'!$F$25*'Industry Assumptions'!$H$254</f>
        <v>6.5500000000000003E-2</v>
      </c>
      <c r="J32" s="170">
        <f>'Industry Assumptions'!$E$25*'Industry Assumptions'!$H$254</f>
        <v>6.5500000000000003E-3</v>
      </c>
      <c r="K32" s="170">
        <f>'Industry Assumptions'!$F$25*'Industry Assumptions'!$H$254</f>
        <v>6.5500000000000003E-2</v>
      </c>
      <c r="L32" s="170">
        <f>'Industry Assumptions'!$E$25*'Industry Assumptions'!$H$254</f>
        <v>6.5500000000000003E-3</v>
      </c>
      <c r="M32" s="170">
        <f>'Industry Assumptions'!$F$25*'Industry Assumptions'!$H$254</f>
        <v>6.5500000000000003E-2</v>
      </c>
      <c r="N32" s="170">
        <f>'Industry Assumptions'!$E$25*'Industry Assumptions'!$H$254</f>
        <v>6.5500000000000003E-3</v>
      </c>
      <c r="O32" s="170">
        <f>'Industry Assumptions'!$F$25*'Industry Assumptions'!$H$254</f>
        <v>6.5500000000000003E-2</v>
      </c>
      <c r="P32" s="170">
        <f>'Industry Assumptions'!$E$25*'Industry Assumptions'!$H$254</f>
        <v>6.5500000000000003E-3</v>
      </c>
      <c r="Q32" s="170">
        <f>'Industry Assumptions'!$F$25*'Industry Assumptions'!$H$254</f>
        <v>6.5500000000000003E-2</v>
      </c>
      <c r="R32" s="170">
        <f>'Industry Assumptions'!$E$25*'Industry Assumptions'!$H$254</f>
        <v>6.5500000000000003E-3</v>
      </c>
      <c r="S32" s="170">
        <f>'Industry Assumptions'!$F$25*'Industry Assumptions'!$H$254</f>
        <v>6.5500000000000003E-2</v>
      </c>
      <c r="T32" s="170">
        <f>'Industry Assumptions'!$E$25*'Industry Assumptions'!$H$254</f>
        <v>6.5500000000000003E-3</v>
      </c>
      <c r="U32" s="170">
        <f>'Industry Assumptions'!$F$25*'Industry Assumptions'!$H$254</f>
        <v>6.5500000000000003E-2</v>
      </c>
      <c r="V32" s="170">
        <f>'Industry Assumptions'!$E$25*'Industry Assumptions'!$H$254</f>
        <v>6.5500000000000003E-3</v>
      </c>
      <c r="W32" s="170">
        <f>'Industry Assumptions'!$F$25*'Industry Assumptions'!$H$254</f>
        <v>6.5500000000000003E-2</v>
      </c>
      <c r="X32" s="170">
        <f>'Industry Assumptions'!$E$25*'Industry Assumptions'!$H$254</f>
        <v>6.5500000000000003E-3</v>
      </c>
      <c r="Y32" s="170">
        <f>'Industry Assumptions'!$F$25*'Industry Assumptions'!$H$254</f>
        <v>6.5500000000000003E-2</v>
      </c>
      <c r="Z32" s="170">
        <f>'Industry Assumptions'!$E$25*'Industry Assumptions'!$H$254</f>
        <v>6.5500000000000003E-3</v>
      </c>
      <c r="AA32" s="170">
        <f>'Industry Assumptions'!$F$25*'Industry Assumptions'!$H$254</f>
        <v>6.5500000000000003E-2</v>
      </c>
      <c r="AB32" s="170">
        <f>'Industry Assumptions'!$E$25*'Industry Assumptions'!$H$254</f>
        <v>6.5500000000000003E-3</v>
      </c>
      <c r="AC32" s="170">
        <f>'Industry Assumptions'!$F$25*'Industry Assumptions'!$H$254</f>
        <v>6.5500000000000003E-2</v>
      </c>
      <c r="AD32" s="170">
        <f>'Industry Assumptions'!$E$25*'Industry Assumptions'!$H$254</f>
        <v>6.5500000000000003E-3</v>
      </c>
      <c r="AE32" s="170">
        <f>'Industry Assumptions'!$F$25*'Industry Assumptions'!$H$254</f>
        <v>6.5500000000000003E-2</v>
      </c>
      <c r="AF32" s="170">
        <f>'Industry Assumptions'!$E$25*'Industry Assumptions'!$H$254</f>
        <v>6.5500000000000003E-3</v>
      </c>
      <c r="AG32" s="170">
        <f>'Industry Assumptions'!$F$25*'Industry Assumptions'!$H$254</f>
        <v>6.5500000000000003E-2</v>
      </c>
      <c r="AH32" s="170">
        <f>'Industry Assumptions'!$E$25*'Industry Assumptions'!$H$254</f>
        <v>6.5500000000000003E-3</v>
      </c>
      <c r="AI32" s="170">
        <f>'Industry Assumptions'!$F$25*'Industry Assumptions'!$H$254</f>
        <v>6.5500000000000003E-2</v>
      </c>
      <c r="AJ32" s="170">
        <f>'Industry Assumptions'!$E$25*'Industry Assumptions'!$H$254</f>
        <v>6.5500000000000003E-3</v>
      </c>
      <c r="AK32" s="170">
        <f>'Industry Assumptions'!$F$25*'Industry Assumptions'!$H$254</f>
        <v>6.5500000000000003E-2</v>
      </c>
      <c r="AL32" s="170">
        <f>'Industry Assumptions'!$E$25*'Industry Assumptions'!$H$254</f>
        <v>6.5500000000000003E-3</v>
      </c>
      <c r="AM32" s="170">
        <f>'Industry Assumptions'!$F$25*'Industry Assumptions'!$H$254</f>
        <v>6.5500000000000003E-2</v>
      </c>
      <c r="AN32" s="170">
        <f>'Industry Assumptions'!$E$25*'Industry Assumptions'!$H$254</f>
        <v>6.5500000000000003E-3</v>
      </c>
      <c r="AO32" s="170">
        <f>'Industry Assumptions'!$F$25*'Industry Assumptions'!$H$254</f>
        <v>6.5500000000000003E-2</v>
      </c>
      <c r="AP32" s="186">
        <f t="shared" si="5"/>
        <v>0.12445000000000001</v>
      </c>
      <c r="AQ32" s="267">
        <f t="shared" si="6"/>
        <v>1.2445000000000004</v>
      </c>
      <c r="AR32" s="267">
        <f t="shared" si="7"/>
        <v>6.2225000000000006E-3</v>
      </c>
      <c r="AS32" s="340">
        <f t="shared" si="8"/>
        <v>6.2225000000000016E-2</v>
      </c>
    </row>
    <row r="33" spans="1:46">
      <c r="A33" s="90" t="s">
        <v>1282</v>
      </c>
      <c r="B33" s="170">
        <v>0</v>
      </c>
      <c r="C33" s="170">
        <v>0</v>
      </c>
      <c r="D33" s="170">
        <f>'Industry Assumptions'!$E$26*'Industry Assumptions'!$H$254</f>
        <v>3.2750000000000001E-3</v>
      </c>
      <c r="E33" s="170">
        <f>'Industry Assumptions'!$F$26*'Industry Assumptions'!$H$254</f>
        <v>6.5500000000000003E-3</v>
      </c>
      <c r="F33" s="170">
        <f>'Industry Assumptions'!$E$26*'Industry Assumptions'!$H$254</f>
        <v>3.2750000000000001E-3</v>
      </c>
      <c r="G33" s="170">
        <f>'Industry Assumptions'!$F$26*'Industry Assumptions'!$H$254</f>
        <v>6.5500000000000003E-3</v>
      </c>
      <c r="H33" s="170">
        <f>'Industry Assumptions'!$E$26*'Industry Assumptions'!$H$254</f>
        <v>3.2750000000000001E-3</v>
      </c>
      <c r="I33" s="170">
        <f>'Industry Assumptions'!$F$26*'Industry Assumptions'!$H$254</f>
        <v>6.5500000000000003E-3</v>
      </c>
      <c r="J33" s="170">
        <f>'Industry Assumptions'!$E$26*'Industry Assumptions'!$H$254</f>
        <v>3.2750000000000001E-3</v>
      </c>
      <c r="K33" s="170">
        <f>'Industry Assumptions'!$F$26*'Industry Assumptions'!$H$254</f>
        <v>6.5500000000000003E-3</v>
      </c>
      <c r="L33" s="170">
        <f>'Industry Assumptions'!$E$26*'Industry Assumptions'!$H$254</f>
        <v>3.2750000000000001E-3</v>
      </c>
      <c r="M33" s="170">
        <f>'Industry Assumptions'!$F$26*'Industry Assumptions'!$H$254</f>
        <v>6.5500000000000003E-3</v>
      </c>
      <c r="N33" s="170">
        <f>'Industry Assumptions'!$E$26*'Industry Assumptions'!$H$254</f>
        <v>3.2750000000000001E-3</v>
      </c>
      <c r="O33" s="170">
        <f>'Industry Assumptions'!$F$26*'Industry Assumptions'!$H$254</f>
        <v>6.5500000000000003E-3</v>
      </c>
      <c r="P33" s="170">
        <f>'Industry Assumptions'!$E$26*'Industry Assumptions'!$H$254</f>
        <v>3.2750000000000001E-3</v>
      </c>
      <c r="Q33" s="170">
        <f>'Industry Assumptions'!$F$26*'Industry Assumptions'!$H$254</f>
        <v>6.5500000000000003E-3</v>
      </c>
      <c r="R33" s="170">
        <f>'Industry Assumptions'!$E$26*'Industry Assumptions'!$H$254</f>
        <v>3.2750000000000001E-3</v>
      </c>
      <c r="S33" s="170">
        <f>'Industry Assumptions'!$F$26*'Industry Assumptions'!$H$254</f>
        <v>6.5500000000000003E-3</v>
      </c>
      <c r="T33" s="170">
        <f>'Industry Assumptions'!$E$26*'Industry Assumptions'!$H$254</f>
        <v>3.2750000000000001E-3</v>
      </c>
      <c r="U33" s="170">
        <f>'Industry Assumptions'!$F$26*'Industry Assumptions'!$H$254</f>
        <v>6.5500000000000003E-3</v>
      </c>
      <c r="V33" s="170">
        <f>'Industry Assumptions'!$E$26*'Industry Assumptions'!$H$254</f>
        <v>3.2750000000000001E-3</v>
      </c>
      <c r="W33" s="170">
        <f>'Industry Assumptions'!$F$26*'Industry Assumptions'!$H$254</f>
        <v>6.5500000000000003E-3</v>
      </c>
      <c r="X33" s="170">
        <f>'Industry Assumptions'!$E$26*'Industry Assumptions'!$H$254</f>
        <v>3.2750000000000001E-3</v>
      </c>
      <c r="Y33" s="170">
        <f>'Industry Assumptions'!$F$26*'Industry Assumptions'!$H$254</f>
        <v>6.5500000000000003E-3</v>
      </c>
      <c r="Z33" s="170">
        <f>'Industry Assumptions'!$E$26*'Industry Assumptions'!$H$254</f>
        <v>3.2750000000000001E-3</v>
      </c>
      <c r="AA33" s="170">
        <f>'Industry Assumptions'!$F$26*'Industry Assumptions'!$H$254</f>
        <v>6.5500000000000003E-3</v>
      </c>
      <c r="AB33" s="170">
        <f>'Industry Assumptions'!$E$26*'Industry Assumptions'!$H$254</f>
        <v>3.2750000000000001E-3</v>
      </c>
      <c r="AC33" s="170">
        <f>'Industry Assumptions'!$F$26*'Industry Assumptions'!$H$254</f>
        <v>6.5500000000000003E-3</v>
      </c>
      <c r="AD33" s="170">
        <f>'Industry Assumptions'!$E$26*'Industry Assumptions'!$H$254</f>
        <v>3.2750000000000001E-3</v>
      </c>
      <c r="AE33" s="170">
        <f>'Industry Assumptions'!$F$26*'Industry Assumptions'!$H$254</f>
        <v>6.5500000000000003E-3</v>
      </c>
      <c r="AF33" s="170">
        <f>'Industry Assumptions'!$E$26*'Industry Assumptions'!$H$254</f>
        <v>3.2750000000000001E-3</v>
      </c>
      <c r="AG33" s="170">
        <f>'Industry Assumptions'!$F$26*'Industry Assumptions'!$H$254</f>
        <v>6.5500000000000003E-3</v>
      </c>
      <c r="AH33" s="170">
        <f>'Industry Assumptions'!$E$26*'Industry Assumptions'!$H$254</f>
        <v>3.2750000000000001E-3</v>
      </c>
      <c r="AI33" s="170">
        <f>'Industry Assumptions'!$F$26*'Industry Assumptions'!$H$254</f>
        <v>6.5500000000000003E-3</v>
      </c>
      <c r="AJ33" s="170">
        <f>'Industry Assumptions'!$E$26*'Industry Assumptions'!$H$254</f>
        <v>3.2750000000000001E-3</v>
      </c>
      <c r="AK33" s="170">
        <f>'Industry Assumptions'!$F$26*'Industry Assumptions'!$H$254</f>
        <v>6.5500000000000003E-3</v>
      </c>
      <c r="AL33" s="170">
        <f>'Industry Assumptions'!$E$26*'Industry Assumptions'!$H$254</f>
        <v>3.2750000000000001E-3</v>
      </c>
      <c r="AM33" s="170">
        <f>'Industry Assumptions'!$F$26*'Industry Assumptions'!$H$254</f>
        <v>6.5500000000000003E-3</v>
      </c>
      <c r="AN33" s="170">
        <f>'Industry Assumptions'!$E$26*'Industry Assumptions'!$H$254</f>
        <v>3.2750000000000001E-3</v>
      </c>
      <c r="AO33" s="170">
        <f>'Industry Assumptions'!$F$26*'Industry Assumptions'!$H$254</f>
        <v>6.5500000000000003E-3</v>
      </c>
      <c r="AP33" s="186">
        <f t="shared" si="5"/>
        <v>6.2225000000000003E-2</v>
      </c>
      <c r="AQ33" s="267">
        <f t="shared" si="6"/>
        <v>0.12445000000000001</v>
      </c>
      <c r="AR33" s="267">
        <f t="shared" si="7"/>
        <v>3.1112500000000003E-3</v>
      </c>
      <c r="AS33" s="340">
        <f t="shared" si="8"/>
        <v>6.2225000000000006E-3</v>
      </c>
    </row>
    <row r="34" spans="1:46">
      <c r="A34" s="90" t="s">
        <v>1283</v>
      </c>
      <c r="B34" s="170">
        <v>0</v>
      </c>
      <c r="C34" s="170">
        <v>0</v>
      </c>
      <c r="D34" s="170">
        <f>'Industry Assumptions'!$E$27*'Industry Assumptions'!$H$254</f>
        <v>3.2750000000000001E-2</v>
      </c>
      <c r="E34" s="170">
        <f>'Industry Assumptions'!$F$27*'Industry Assumptions'!$H$254</f>
        <v>0.32750000000000001</v>
      </c>
      <c r="F34" s="170">
        <f>'Industry Assumptions'!$E$27*'Industry Assumptions'!$H$254</f>
        <v>3.2750000000000001E-2</v>
      </c>
      <c r="G34" s="170">
        <f>'Industry Assumptions'!$F$27*'Industry Assumptions'!$H$254</f>
        <v>0.32750000000000001</v>
      </c>
      <c r="H34" s="170">
        <f>'Industry Assumptions'!$E$27*'Industry Assumptions'!$H$254</f>
        <v>3.2750000000000001E-2</v>
      </c>
      <c r="I34" s="170">
        <f>'Industry Assumptions'!$F$27*'Industry Assumptions'!$H$254</f>
        <v>0.32750000000000001</v>
      </c>
      <c r="J34" s="170">
        <f>'Industry Assumptions'!$E$27*'Industry Assumptions'!$H$254</f>
        <v>3.2750000000000001E-2</v>
      </c>
      <c r="K34" s="170">
        <f>'Industry Assumptions'!$F$27*'Industry Assumptions'!$H$254</f>
        <v>0.32750000000000001</v>
      </c>
      <c r="L34" s="170">
        <f>'Industry Assumptions'!$E$27*'Industry Assumptions'!$H$254</f>
        <v>3.2750000000000001E-2</v>
      </c>
      <c r="M34" s="170">
        <f>'Industry Assumptions'!$F$27*'Industry Assumptions'!$H$254</f>
        <v>0.32750000000000001</v>
      </c>
      <c r="N34" s="170">
        <f>'Industry Assumptions'!$E$27*'Industry Assumptions'!$H$254</f>
        <v>3.2750000000000001E-2</v>
      </c>
      <c r="O34" s="170">
        <f>'Industry Assumptions'!$F$27*'Industry Assumptions'!$H$254</f>
        <v>0.32750000000000001</v>
      </c>
      <c r="P34" s="170">
        <f>'Industry Assumptions'!$E$27*'Industry Assumptions'!$H$254</f>
        <v>3.2750000000000001E-2</v>
      </c>
      <c r="Q34" s="170">
        <f>'Industry Assumptions'!$F$27*'Industry Assumptions'!$H$254</f>
        <v>0.32750000000000001</v>
      </c>
      <c r="R34" s="170">
        <f>'Industry Assumptions'!$E$27*'Industry Assumptions'!$H$254</f>
        <v>3.2750000000000001E-2</v>
      </c>
      <c r="S34" s="170">
        <f>'Industry Assumptions'!$F$27*'Industry Assumptions'!$H$254</f>
        <v>0.32750000000000001</v>
      </c>
      <c r="T34" s="170">
        <f>'Industry Assumptions'!$E$27*'Industry Assumptions'!$H$254</f>
        <v>3.2750000000000001E-2</v>
      </c>
      <c r="U34" s="170">
        <f>'Industry Assumptions'!$F$27*'Industry Assumptions'!$H$254</f>
        <v>0.32750000000000001</v>
      </c>
      <c r="V34" s="170">
        <f>'Industry Assumptions'!$E$27*'Industry Assumptions'!$H$254</f>
        <v>3.2750000000000001E-2</v>
      </c>
      <c r="W34" s="170">
        <f>'Industry Assumptions'!$F$27*'Industry Assumptions'!$H$254</f>
        <v>0.32750000000000001</v>
      </c>
      <c r="X34" s="170">
        <f>'Industry Assumptions'!$E$27*'Industry Assumptions'!$H$254</f>
        <v>3.2750000000000001E-2</v>
      </c>
      <c r="Y34" s="170">
        <f>'Industry Assumptions'!$F$27*'Industry Assumptions'!$H$254</f>
        <v>0.32750000000000001</v>
      </c>
      <c r="Z34" s="170">
        <f>'Industry Assumptions'!$E$27*'Industry Assumptions'!$H$254</f>
        <v>3.2750000000000001E-2</v>
      </c>
      <c r="AA34" s="170">
        <f>'Industry Assumptions'!$F$27*'Industry Assumptions'!$H$254</f>
        <v>0.32750000000000001</v>
      </c>
      <c r="AB34" s="170">
        <f>'Industry Assumptions'!$E$27*'Industry Assumptions'!$H$254</f>
        <v>3.2750000000000001E-2</v>
      </c>
      <c r="AC34" s="170">
        <f>'Industry Assumptions'!$F$27*'Industry Assumptions'!$H$254</f>
        <v>0.32750000000000001</v>
      </c>
      <c r="AD34" s="170">
        <f>'Industry Assumptions'!$E$27*'Industry Assumptions'!$H$254</f>
        <v>3.2750000000000001E-2</v>
      </c>
      <c r="AE34" s="170">
        <f>'Industry Assumptions'!$F$27*'Industry Assumptions'!$H$254</f>
        <v>0.32750000000000001</v>
      </c>
      <c r="AF34" s="170">
        <f>'Industry Assumptions'!$E$27*'Industry Assumptions'!$H$254</f>
        <v>3.2750000000000001E-2</v>
      </c>
      <c r="AG34" s="170">
        <f>'Industry Assumptions'!$F$27*'Industry Assumptions'!$H$254</f>
        <v>0.32750000000000001</v>
      </c>
      <c r="AH34" s="170">
        <f>'Industry Assumptions'!$E$27*'Industry Assumptions'!$H$254</f>
        <v>3.2750000000000001E-2</v>
      </c>
      <c r="AI34" s="170">
        <f>'Industry Assumptions'!$F$27*'Industry Assumptions'!$H$254</f>
        <v>0.32750000000000001</v>
      </c>
      <c r="AJ34" s="170">
        <f>'Industry Assumptions'!$E$27*'Industry Assumptions'!$H$254</f>
        <v>3.2750000000000001E-2</v>
      </c>
      <c r="AK34" s="170">
        <f>'Industry Assumptions'!$F$27*'Industry Assumptions'!$H$254</f>
        <v>0.32750000000000001</v>
      </c>
      <c r="AL34" s="170">
        <f>'Industry Assumptions'!$E$27*'Industry Assumptions'!$H$254</f>
        <v>3.2750000000000001E-2</v>
      </c>
      <c r="AM34" s="170">
        <f>'Industry Assumptions'!$F$27*'Industry Assumptions'!$H$254</f>
        <v>0.32750000000000001</v>
      </c>
      <c r="AN34" s="170">
        <f>'Industry Assumptions'!$E$27*'Industry Assumptions'!$H$254</f>
        <v>3.2750000000000001E-2</v>
      </c>
      <c r="AO34" s="170">
        <f>'Industry Assumptions'!$F$27*'Industry Assumptions'!$H$254</f>
        <v>0.32750000000000001</v>
      </c>
      <c r="AP34" s="186">
        <f t="shared" si="5"/>
        <v>0.62225000000000019</v>
      </c>
      <c r="AQ34" s="267">
        <f t="shared" si="6"/>
        <v>6.2224999999999993</v>
      </c>
      <c r="AR34" s="267">
        <f t="shared" si="7"/>
        <v>3.1112500000000008E-2</v>
      </c>
      <c r="AS34" s="340">
        <f t="shared" si="8"/>
        <v>0.31112499999999998</v>
      </c>
    </row>
    <row r="35" spans="1:46" ht="12.75" customHeight="1">
      <c r="A35" s="90" t="s">
        <v>1284</v>
      </c>
      <c r="B35" s="170">
        <v>0</v>
      </c>
      <c r="C35" s="170">
        <v>0</v>
      </c>
      <c r="D35" s="170">
        <v>0</v>
      </c>
      <c r="E35" s="170">
        <v>0</v>
      </c>
      <c r="F35" s="170">
        <v>0</v>
      </c>
      <c r="G35" s="170">
        <v>0</v>
      </c>
      <c r="H35" s="170">
        <v>0</v>
      </c>
      <c r="I35" s="170">
        <v>0</v>
      </c>
      <c r="J35" s="170">
        <f>'Industry Assumptions'!$E$28*'Industry Assumptions'!$J$254</f>
        <v>1.6375000000000001E-2</v>
      </c>
      <c r="K35" s="170">
        <f>'Industry Assumptions'!$F$28*'Industry Assumptions'!$J$254</f>
        <v>8.1875000000000003E-2</v>
      </c>
      <c r="L35" s="341">
        <v>0</v>
      </c>
      <c r="M35" s="341">
        <v>0</v>
      </c>
      <c r="N35" s="341">
        <v>0</v>
      </c>
      <c r="O35" s="341">
        <v>0</v>
      </c>
      <c r="P35" s="341">
        <v>0</v>
      </c>
      <c r="Q35" s="341">
        <v>0</v>
      </c>
      <c r="R35" s="170">
        <f>'Industry Assumptions'!$E$28*'Industry Assumptions'!$J$254</f>
        <v>1.6375000000000001E-2</v>
      </c>
      <c r="S35" s="170">
        <f>'Industry Assumptions'!$F$28*'Industry Assumptions'!$J$254</f>
        <v>8.1875000000000003E-2</v>
      </c>
      <c r="T35" s="341">
        <v>0</v>
      </c>
      <c r="U35" s="341">
        <v>0</v>
      </c>
      <c r="V35" s="341">
        <v>0</v>
      </c>
      <c r="W35" s="341">
        <v>0</v>
      </c>
      <c r="X35" s="341">
        <v>0</v>
      </c>
      <c r="Y35" s="341">
        <v>0</v>
      </c>
      <c r="Z35" s="170">
        <f>'Industry Assumptions'!$E$28*'Industry Assumptions'!$J$254</f>
        <v>1.6375000000000001E-2</v>
      </c>
      <c r="AA35" s="170">
        <f>'Industry Assumptions'!$F$28*'Industry Assumptions'!$J$254</f>
        <v>8.1875000000000003E-2</v>
      </c>
      <c r="AB35" s="341">
        <v>0</v>
      </c>
      <c r="AC35" s="341">
        <v>0</v>
      </c>
      <c r="AD35" s="341">
        <v>0</v>
      </c>
      <c r="AE35" s="341">
        <v>0</v>
      </c>
      <c r="AF35" s="341">
        <v>0</v>
      </c>
      <c r="AG35" s="341">
        <v>0</v>
      </c>
      <c r="AH35" s="170">
        <f>'Industry Assumptions'!$E$28*'Industry Assumptions'!$J$254</f>
        <v>1.6375000000000001E-2</v>
      </c>
      <c r="AI35" s="170">
        <f>'Industry Assumptions'!$F$28*'Industry Assumptions'!$J$254</f>
        <v>8.1875000000000003E-2</v>
      </c>
      <c r="AJ35" s="341">
        <v>0</v>
      </c>
      <c r="AK35" s="341">
        <v>0</v>
      </c>
      <c r="AL35" s="341">
        <v>0</v>
      </c>
      <c r="AM35" s="341">
        <v>0</v>
      </c>
      <c r="AN35" s="341">
        <v>0</v>
      </c>
      <c r="AO35" s="341">
        <v>0</v>
      </c>
      <c r="AP35" s="186">
        <f t="shared" si="5"/>
        <v>6.5500000000000003E-2</v>
      </c>
      <c r="AQ35" s="267">
        <f t="shared" si="6"/>
        <v>0.32750000000000001</v>
      </c>
      <c r="AR35" s="267">
        <f t="shared" si="7"/>
        <v>3.2750000000000001E-3</v>
      </c>
      <c r="AS35" s="340">
        <f t="shared" si="8"/>
        <v>1.6375000000000001E-2</v>
      </c>
    </row>
    <row r="36" spans="1:46">
      <c r="A36" s="90"/>
      <c r="B36" s="170"/>
      <c r="C36" s="170"/>
      <c r="D36" s="170"/>
      <c r="E36" s="170"/>
      <c r="F36" s="170"/>
      <c r="G36" s="170"/>
      <c r="H36" s="170"/>
      <c r="I36" s="170"/>
      <c r="J36" s="341"/>
      <c r="K36" s="341"/>
      <c r="L36" s="341"/>
      <c r="M36" s="341"/>
      <c r="N36" s="341"/>
      <c r="O36" s="341"/>
      <c r="P36" s="341"/>
      <c r="Q36" s="341"/>
      <c r="R36" s="341"/>
      <c r="S36" s="341"/>
      <c r="T36" s="341"/>
      <c r="U36" s="341"/>
      <c r="V36" s="341"/>
      <c r="W36" s="341"/>
      <c r="X36" s="341"/>
      <c r="Y36" s="341"/>
      <c r="Z36" s="341"/>
      <c r="AA36" s="341"/>
      <c r="AB36" s="341"/>
      <c r="AC36" s="341"/>
      <c r="AD36" s="341"/>
      <c r="AE36" s="341"/>
      <c r="AF36" s="341"/>
      <c r="AG36" s="341"/>
      <c r="AH36" s="341"/>
      <c r="AI36" s="341"/>
      <c r="AJ36" s="341"/>
      <c r="AK36" s="341"/>
      <c r="AL36" s="341"/>
      <c r="AM36" s="341"/>
      <c r="AN36" s="341"/>
      <c r="AO36" s="341"/>
      <c r="AP36" s="186">
        <f t="shared" si="5"/>
        <v>0</v>
      </c>
      <c r="AQ36" s="267">
        <f t="shared" si="6"/>
        <v>0</v>
      </c>
      <c r="AR36" s="267">
        <f t="shared" si="7"/>
        <v>0</v>
      </c>
      <c r="AS36" s="340">
        <f t="shared" si="8"/>
        <v>0</v>
      </c>
    </row>
    <row r="37" spans="1:46">
      <c r="A37" s="350" t="s">
        <v>1272</v>
      </c>
      <c r="B37" s="170"/>
      <c r="C37" s="170"/>
      <c r="D37" s="170"/>
      <c r="E37" s="170"/>
      <c r="F37" s="170"/>
      <c r="G37" s="170"/>
      <c r="H37" s="170"/>
      <c r="I37" s="170"/>
      <c r="J37" s="341"/>
      <c r="K37" s="341"/>
      <c r="L37" s="341"/>
      <c r="M37" s="341"/>
      <c r="N37" s="341"/>
      <c r="O37" s="341"/>
      <c r="P37" s="341"/>
      <c r="Q37" s="341"/>
      <c r="R37" s="341"/>
      <c r="S37" s="341"/>
      <c r="T37" s="341"/>
      <c r="U37" s="341"/>
      <c r="V37" s="341"/>
      <c r="W37" s="341"/>
      <c r="X37" s="341"/>
      <c r="Y37" s="341"/>
      <c r="Z37" s="341"/>
      <c r="AA37" s="341"/>
      <c r="AB37" s="341"/>
      <c r="AC37" s="341"/>
      <c r="AD37" s="341"/>
      <c r="AE37" s="341"/>
      <c r="AF37" s="341"/>
      <c r="AG37" s="341"/>
      <c r="AH37" s="341"/>
      <c r="AI37" s="341"/>
      <c r="AJ37" s="341"/>
      <c r="AK37" s="341"/>
      <c r="AL37" s="341"/>
      <c r="AM37" s="341"/>
      <c r="AN37" s="341"/>
      <c r="AO37" s="341"/>
      <c r="AP37" s="186">
        <f t="shared" si="5"/>
        <v>0</v>
      </c>
      <c r="AQ37" s="267">
        <f t="shared" si="6"/>
        <v>0</v>
      </c>
      <c r="AR37" s="267">
        <f t="shared" si="7"/>
        <v>0</v>
      </c>
      <c r="AS37" s="340">
        <f t="shared" si="8"/>
        <v>0</v>
      </c>
    </row>
    <row r="38" spans="1:46">
      <c r="A38" s="90" t="s">
        <v>1285</v>
      </c>
      <c r="B38" s="170">
        <v>0</v>
      </c>
      <c r="C38" s="170">
        <v>0</v>
      </c>
      <c r="D38" s="170">
        <f>'Industry Assumptions'!$E$30*'Industry Assumptions'!$J$254</f>
        <v>8.1875000000000003E-3</v>
      </c>
      <c r="E38" s="170">
        <f>'Industry Assumptions'!$F$30*'Industry Assumptions'!$J$254</f>
        <v>0.16375000000000001</v>
      </c>
      <c r="F38" s="170">
        <f>'Industry Assumptions'!$E$30*'Industry Assumptions'!$J$254</f>
        <v>8.1875000000000003E-3</v>
      </c>
      <c r="G38" s="170">
        <f>'Industry Assumptions'!$F$30*'Industry Assumptions'!$J$254</f>
        <v>0.16375000000000001</v>
      </c>
      <c r="H38" s="170">
        <f>'Industry Assumptions'!$E$30*'Industry Assumptions'!$J$254</f>
        <v>8.1875000000000003E-3</v>
      </c>
      <c r="I38" s="170">
        <f>'Industry Assumptions'!$F$30*'Industry Assumptions'!$J$254</f>
        <v>0.16375000000000001</v>
      </c>
      <c r="J38" s="170">
        <f>'Industry Assumptions'!$E$30*'Industry Assumptions'!$J$254</f>
        <v>8.1875000000000003E-3</v>
      </c>
      <c r="K38" s="170">
        <f>'Industry Assumptions'!$F$30*'Industry Assumptions'!$J$254</f>
        <v>0.16375000000000001</v>
      </c>
      <c r="L38" s="170">
        <f>'Industry Assumptions'!$E$30*'Industry Assumptions'!$J$254</f>
        <v>8.1875000000000003E-3</v>
      </c>
      <c r="M38" s="170">
        <f>'Industry Assumptions'!$F$30*'Industry Assumptions'!$J$254</f>
        <v>0.16375000000000001</v>
      </c>
      <c r="N38" s="170">
        <f>'Industry Assumptions'!$E$30*'Industry Assumptions'!$J$254</f>
        <v>8.1875000000000003E-3</v>
      </c>
      <c r="O38" s="170">
        <f>'Industry Assumptions'!$F$30*'Industry Assumptions'!$J$254</f>
        <v>0.16375000000000001</v>
      </c>
      <c r="P38" s="170">
        <f>'Industry Assumptions'!$E$30*'Industry Assumptions'!$J$254</f>
        <v>8.1875000000000003E-3</v>
      </c>
      <c r="Q38" s="170">
        <f>'Industry Assumptions'!$F$30*'Industry Assumptions'!$J$254</f>
        <v>0.16375000000000001</v>
      </c>
      <c r="R38" s="170">
        <f>'Industry Assumptions'!$E$30*'Industry Assumptions'!$J$254</f>
        <v>8.1875000000000003E-3</v>
      </c>
      <c r="S38" s="170">
        <f>'Industry Assumptions'!$F$30*'Industry Assumptions'!$J$254</f>
        <v>0.16375000000000001</v>
      </c>
      <c r="T38" s="170">
        <f>'Industry Assumptions'!$E$30*'Industry Assumptions'!$J$254</f>
        <v>8.1875000000000003E-3</v>
      </c>
      <c r="U38" s="170">
        <f>'Industry Assumptions'!$F$30*'Industry Assumptions'!$J$254</f>
        <v>0.16375000000000001</v>
      </c>
      <c r="V38" s="170">
        <f>'Industry Assumptions'!$E$30*'Industry Assumptions'!$J$254</f>
        <v>8.1875000000000003E-3</v>
      </c>
      <c r="W38" s="170">
        <f>'Industry Assumptions'!$F$30*'Industry Assumptions'!$J$254</f>
        <v>0.16375000000000001</v>
      </c>
      <c r="X38" s="170">
        <f>'Industry Assumptions'!$E$30*'Industry Assumptions'!$J$254</f>
        <v>8.1875000000000003E-3</v>
      </c>
      <c r="Y38" s="170">
        <f>'Industry Assumptions'!$F$30*'Industry Assumptions'!$J$254</f>
        <v>0.16375000000000001</v>
      </c>
      <c r="Z38" s="170">
        <f>'Industry Assumptions'!$E$30*'Industry Assumptions'!$J$254</f>
        <v>8.1875000000000003E-3</v>
      </c>
      <c r="AA38" s="170">
        <f>'Industry Assumptions'!$F$30*'Industry Assumptions'!$J$254</f>
        <v>0.16375000000000001</v>
      </c>
      <c r="AB38" s="170">
        <f>'Industry Assumptions'!$E$30*'Industry Assumptions'!$J$254</f>
        <v>8.1875000000000003E-3</v>
      </c>
      <c r="AC38" s="170">
        <f>'Industry Assumptions'!$F$30*'Industry Assumptions'!$J$254</f>
        <v>0.16375000000000001</v>
      </c>
      <c r="AD38" s="170">
        <f>'Industry Assumptions'!$E$30*'Industry Assumptions'!$J$254</f>
        <v>8.1875000000000003E-3</v>
      </c>
      <c r="AE38" s="170">
        <f>'Industry Assumptions'!$F$30*'Industry Assumptions'!$J$254</f>
        <v>0.16375000000000001</v>
      </c>
      <c r="AF38" s="170">
        <f>'Industry Assumptions'!$E$30*'Industry Assumptions'!$J$254</f>
        <v>8.1875000000000003E-3</v>
      </c>
      <c r="AG38" s="170">
        <f>'Industry Assumptions'!$F$30*'Industry Assumptions'!$J$254</f>
        <v>0.16375000000000001</v>
      </c>
      <c r="AH38" s="170">
        <f>'Industry Assumptions'!$E$30*'Industry Assumptions'!$J$254</f>
        <v>8.1875000000000003E-3</v>
      </c>
      <c r="AI38" s="170">
        <f>'Industry Assumptions'!$F$30*'Industry Assumptions'!$J$254</f>
        <v>0.16375000000000001</v>
      </c>
      <c r="AJ38" s="170">
        <f>'Industry Assumptions'!$E$30*'Industry Assumptions'!$J$254</f>
        <v>8.1875000000000003E-3</v>
      </c>
      <c r="AK38" s="170">
        <f>'Industry Assumptions'!$F$30*'Industry Assumptions'!$J$254</f>
        <v>0.16375000000000001</v>
      </c>
      <c r="AL38" s="170">
        <f>'Industry Assumptions'!$E$30*'Industry Assumptions'!$J$254</f>
        <v>8.1875000000000003E-3</v>
      </c>
      <c r="AM38" s="170">
        <f>'Industry Assumptions'!$F$30*'Industry Assumptions'!$J$254</f>
        <v>0.16375000000000001</v>
      </c>
      <c r="AN38" s="170">
        <f>'Industry Assumptions'!$E$30*'Industry Assumptions'!$J$254</f>
        <v>8.1875000000000003E-3</v>
      </c>
      <c r="AO38" s="170">
        <f>'Industry Assumptions'!$F$30*'Industry Assumptions'!$J$254</f>
        <v>0.16375000000000001</v>
      </c>
      <c r="AP38" s="186">
        <f t="shared" si="5"/>
        <v>0.15556250000000005</v>
      </c>
      <c r="AQ38" s="267">
        <f t="shared" si="6"/>
        <v>3.1112499999999996</v>
      </c>
      <c r="AR38" s="267">
        <f t="shared" si="7"/>
        <v>7.7781250000000021E-3</v>
      </c>
      <c r="AS38" s="340">
        <f t="shared" si="8"/>
        <v>0.15556249999999999</v>
      </c>
    </row>
    <row r="39" spans="1:46">
      <c r="A39" s="90" t="s">
        <v>1286</v>
      </c>
      <c r="B39" s="170">
        <v>0</v>
      </c>
      <c r="C39" s="170">
        <v>0</v>
      </c>
      <c r="D39" s="170">
        <f>'Industry Assumptions'!$E$31</f>
        <v>0.1</v>
      </c>
      <c r="E39" s="170">
        <f>'Industry Assumptions'!$F$31</f>
        <v>3</v>
      </c>
      <c r="F39" s="170">
        <v>0</v>
      </c>
      <c r="G39" s="170">
        <v>0</v>
      </c>
      <c r="H39" s="170">
        <v>0</v>
      </c>
      <c r="I39" s="170">
        <v>0</v>
      </c>
      <c r="J39" s="170">
        <f>'Industry Assumptions'!$E$31</f>
        <v>0.1</v>
      </c>
      <c r="K39" s="170">
        <f>'Industry Assumptions'!$F$31</f>
        <v>3</v>
      </c>
      <c r="L39" s="341"/>
      <c r="M39" s="341"/>
      <c r="N39" s="341"/>
      <c r="O39" s="341"/>
      <c r="P39" s="170">
        <f>'Industry Assumptions'!$E$31</f>
        <v>0.1</v>
      </c>
      <c r="Q39" s="170">
        <f>'Industry Assumptions'!$F$31</f>
        <v>3</v>
      </c>
      <c r="R39" s="341"/>
      <c r="S39" s="341"/>
      <c r="T39" s="341"/>
      <c r="U39" s="341"/>
      <c r="V39" s="170">
        <f>'Industry Assumptions'!$E$31</f>
        <v>0.1</v>
      </c>
      <c r="W39" s="170">
        <f>'Industry Assumptions'!$F$31</f>
        <v>3</v>
      </c>
      <c r="X39" s="341"/>
      <c r="Y39" s="341"/>
      <c r="Z39" s="341"/>
      <c r="AA39" s="341"/>
      <c r="AB39" s="170">
        <f>'Industry Assumptions'!$E$31</f>
        <v>0.1</v>
      </c>
      <c r="AC39" s="170">
        <f>'Industry Assumptions'!$F$31</f>
        <v>3</v>
      </c>
      <c r="AD39" s="341"/>
      <c r="AE39" s="341"/>
      <c r="AF39" s="341"/>
      <c r="AG39" s="341"/>
      <c r="AH39" s="170">
        <f>'Industry Assumptions'!$E$31</f>
        <v>0.1</v>
      </c>
      <c r="AI39" s="170">
        <f>'Industry Assumptions'!$F$31</f>
        <v>3</v>
      </c>
      <c r="AJ39" s="341"/>
      <c r="AK39" s="341"/>
      <c r="AL39" s="341"/>
      <c r="AM39" s="341"/>
      <c r="AN39" s="170">
        <f>'Industry Assumptions'!$E$31</f>
        <v>0.1</v>
      </c>
      <c r="AO39" s="170">
        <f>'Industry Assumptions'!$F$31</f>
        <v>3</v>
      </c>
      <c r="AP39" s="186">
        <f t="shared" si="5"/>
        <v>0.7</v>
      </c>
      <c r="AQ39" s="267">
        <f t="shared" si="6"/>
        <v>21</v>
      </c>
      <c r="AR39" s="267">
        <f t="shared" si="7"/>
        <v>3.4999999999999996E-2</v>
      </c>
      <c r="AS39" s="340">
        <f t="shared" si="8"/>
        <v>1.05</v>
      </c>
    </row>
    <row r="40" spans="1:46">
      <c r="A40" s="90" t="s">
        <v>1287</v>
      </c>
      <c r="B40" s="170">
        <v>0</v>
      </c>
      <c r="C40" s="170">
        <v>0</v>
      </c>
      <c r="D40" s="170">
        <f>'Industry Assumptions'!$E$32*'Industry Assumptions'!$J$254</f>
        <v>0</v>
      </c>
      <c r="E40" s="170">
        <f>'Industry Assumptions'!$F$32*'Industry Assumptions'!$J$254</f>
        <v>0.16375000000000001</v>
      </c>
      <c r="F40" s="170">
        <f>'Industry Assumptions'!$E$32*'Industry Assumptions'!$J$254</f>
        <v>0</v>
      </c>
      <c r="G40" s="170">
        <f>'Industry Assumptions'!$F$32*'Industry Assumptions'!$J$254</f>
        <v>0.16375000000000001</v>
      </c>
      <c r="H40" s="170">
        <f>'Industry Assumptions'!$E$32*'Industry Assumptions'!$J$254</f>
        <v>0</v>
      </c>
      <c r="I40" s="170">
        <f>'Industry Assumptions'!$F$32*'Industry Assumptions'!$J$254</f>
        <v>0.16375000000000001</v>
      </c>
      <c r="J40" s="170">
        <f>'Industry Assumptions'!$E$32*'Industry Assumptions'!$J$254</f>
        <v>0</v>
      </c>
      <c r="K40" s="170">
        <f>'Industry Assumptions'!$F$32*'Industry Assumptions'!$J$254</f>
        <v>0.16375000000000001</v>
      </c>
      <c r="L40" s="170">
        <f>'Industry Assumptions'!$E$32*'Industry Assumptions'!$J$254</f>
        <v>0</v>
      </c>
      <c r="M40" s="170">
        <f>'Industry Assumptions'!$F$32*'Industry Assumptions'!$J$254</f>
        <v>0.16375000000000001</v>
      </c>
      <c r="N40" s="170">
        <f>'Industry Assumptions'!$E$32*'Industry Assumptions'!$J$254</f>
        <v>0</v>
      </c>
      <c r="O40" s="170">
        <f>'Industry Assumptions'!$F$32*'Industry Assumptions'!$J$254</f>
        <v>0.16375000000000001</v>
      </c>
      <c r="P40" s="170">
        <f>'Industry Assumptions'!$E$32*'Industry Assumptions'!$J$254</f>
        <v>0</v>
      </c>
      <c r="Q40" s="170">
        <f>'Industry Assumptions'!$F$32*'Industry Assumptions'!$J$254</f>
        <v>0.16375000000000001</v>
      </c>
      <c r="R40" s="170">
        <f>'Industry Assumptions'!$E$32*'Industry Assumptions'!$J$254</f>
        <v>0</v>
      </c>
      <c r="S40" s="170">
        <f>'Industry Assumptions'!$F$32*'Industry Assumptions'!$J$254</f>
        <v>0.16375000000000001</v>
      </c>
      <c r="T40" s="170">
        <f>'Industry Assumptions'!$E$32*'Industry Assumptions'!$J$254</f>
        <v>0</v>
      </c>
      <c r="U40" s="170">
        <f>'Industry Assumptions'!$F$32*'Industry Assumptions'!$J$254</f>
        <v>0.16375000000000001</v>
      </c>
      <c r="V40" s="170">
        <f>'Industry Assumptions'!$E$32*'Industry Assumptions'!$J$254</f>
        <v>0</v>
      </c>
      <c r="W40" s="170">
        <f>'Industry Assumptions'!$F$32*'Industry Assumptions'!$J$254</f>
        <v>0.16375000000000001</v>
      </c>
      <c r="X40" s="170">
        <f>'Industry Assumptions'!$E$32*'Industry Assumptions'!$J$254</f>
        <v>0</v>
      </c>
      <c r="Y40" s="170">
        <f>'Industry Assumptions'!$F$32*'Industry Assumptions'!$J$254</f>
        <v>0.16375000000000001</v>
      </c>
      <c r="Z40" s="170">
        <f>'Industry Assumptions'!$E$32*'Industry Assumptions'!$J$254</f>
        <v>0</v>
      </c>
      <c r="AA40" s="170">
        <f>'Industry Assumptions'!$F$32*'Industry Assumptions'!$J$254</f>
        <v>0.16375000000000001</v>
      </c>
      <c r="AB40" s="170">
        <f>'Industry Assumptions'!$E$32*'Industry Assumptions'!$J$254</f>
        <v>0</v>
      </c>
      <c r="AC40" s="170">
        <f>'Industry Assumptions'!$F$32*'Industry Assumptions'!$J$254</f>
        <v>0.16375000000000001</v>
      </c>
      <c r="AD40" s="170">
        <f>'Industry Assumptions'!$E$32*'Industry Assumptions'!$J$254</f>
        <v>0</v>
      </c>
      <c r="AE40" s="170">
        <f>'Industry Assumptions'!$F$32*'Industry Assumptions'!$J$254</f>
        <v>0.16375000000000001</v>
      </c>
      <c r="AF40" s="170">
        <f>'Industry Assumptions'!$E$32*'Industry Assumptions'!$J$254</f>
        <v>0</v>
      </c>
      <c r="AG40" s="170">
        <f>'Industry Assumptions'!$F$32*'Industry Assumptions'!$J$254</f>
        <v>0.16375000000000001</v>
      </c>
      <c r="AH40" s="170">
        <f>'Industry Assumptions'!$E$32*'Industry Assumptions'!$J$254</f>
        <v>0</v>
      </c>
      <c r="AI40" s="170">
        <f>'Industry Assumptions'!$F$32*'Industry Assumptions'!$J$254</f>
        <v>0.16375000000000001</v>
      </c>
      <c r="AJ40" s="170">
        <f>'Industry Assumptions'!$E$32*'Industry Assumptions'!$J$254</f>
        <v>0</v>
      </c>
      <c r="AK40" s="170">
        <f>'Industry Assumptions'!$F$32*'Industry Assumptions'!$J$254</f>
        <v>0.16375000000000001</v>
      </c>
      <c r="AL40" s="170">
        <f>'Industry Assumptions'!$E$32*'Industry Assumptions'!$J$254</f>
        <v>0</v>
      </c>
      <c r="AM40" s="170">
        <f>'Industry Assumptions'!$F$32*'Industry Assumptions'!$J$254</f>
        <v>0.16375000000000001</v>
      </c>
      <c r="AN40" s="170">
        <f>'Industry Assumptions'!$E$32*'Industry Assumptions'!$J$254</f>
        <v>0</v>
      </c>
      <c r="AO40" s="170">
        <f>'Industry Assumptions'!$F$32*'Industry Assumptions'!$J$254</f>
        <v>0.16375000000000001</v>
      </c>
      <c r="AP40" s="186">
        <f t="shared" si="5"/>
        <v>0</v>
      </c>
      <c r="AQ40" s="267">
        <f t="shared" si="6"/>
        <v>3.1112499999999996</v>
      </c>
      <c r="AR40" s="267">
        <f t="shared" si="7"/>
        <v>0</v>
      </c>
      <c r="AS40" s="340">
        <f t="shared" si="8"/>
        <v>0.15556249999999999</v>
      </c>
    </row>
    <row r="41" spans="1:46">
      <c r="A41" s="90" t="s">
        <v>1288</v>
      </c>
      <c r="B41" s="170">
        <v>0</v>
      </c>
      <c r="C41" s="170">
        <v>0</v>
      </c>
      <c r="D41" s="170">
        <f>'Industry Assumptions'!$E$33*'Industry Assumptions'!$H$254</f>
        <v>0</v>
      </c>
      <c r="E41" s="170">
        <f>'Industry Assumptions'!$F$33*'Industry Assumptions'!$H$254</f>
        <v>0.65500000000000003</v>
      </c>
      <c r="F41" s="170">
        <f>'Industry Assumptions'!$E$33*'Industry Assumptions'!$H$254</f>
        <v>0</v>
      </c>
      <c r="G41" s="170">
        <f>'Industry Assumptions'!$F$33*'Industry Assumptions'!$H$254</f>
        <v>0.65500000000000003</v>
      </c>
      <c r="H41" s="170">
        <f>'Industry Assumptions'!$E$33*'Industry Assumptions'!$H$254</f>
        <v>0</v>
      </c>
      <c r="I41" s="170">
        <f>'Industry Assumptions'!$F$33*'Industry Assumptions'!$H$254</f>
        <v>0.65500000000000003</v>
      </c>
      <c r="J41" s="170">
        <f>'Industry Assumptions'!$E$33*'Industry Assumptions'!$H$254</f>
        <v>0</v>
      </c>
      <c r="K41" s="170">
        <f>'Industry Assumptions'!$F$33*'Industry Assumptions'!$H$254</f>
        <v>0.65500000000000003</v>
      </c>
      <c r="L41" s="170">
        <f>'Industry Assumptions'!$E$33*'Industry Assumptions'!$H$254</f>
        <v>0</v>
      </c>
      <c r="M41" s="170">
        <f>'Industry Assumptions'!$F$33*'Industry Assumptions'!$H$254</f>
        <v>0.65500000000000003</v>
      </c>
      <c r="N41" s="170">
        <f>'Industry Assumptions'!$E$33*'Industry Assumptions'!$H$254</f>
        <v>0</v>
      </c>
      <c r="O41" s="170">
        <f>'Industry Assumptions'!$F$33*'Industry Assumptions'!$H$254</f>
        <v>0.65500000000000003</v>
      </c>
      <c r="P41" s="170">
        <f>'Industry Assumptions'!$E$33*'Industry Assumptions'!$H$254</f>
        <v>0</v>
      </c>
      <c r="Q41" s="170">
        <f>'Industry Assumptions'!$F$33*'Industry Assumptions'!$H$254</f>
        <v>0.65500000000000003</v>
      </c>
      <c r="R41" s="170">
        <f>'Industry Assumptions'!$E$33*'Industry Assumptions'!$H$254</f>
        <v>0</v>
      </c>
      <c r="S41" s="170">
        <f>'Industry Assumptions'!$F$33*'Industry Assumptions'!$H$254</f>
        <v>0.65500000000000003</v>
      </c>
      <c r="T41" s="170">
        <f>'Industry Assumptions'!$E$33*'Industry Assumptions'!$H$254</f>
        <v>0</v>
      </c>
      <c r="U41" s="170">
        <f>'Industry Assumptions'!$F$33*'Industry Assumptions'!$H$254</f>
        <v>0.65500000000000003</v>
      </c>
      <c r="V41" s="170">
        <f>'Industry Assumptions'!$E$33*'Industry Assumptions'!$H$254</f>
        <v>0</v>
      </c>
      <c r="W41" s="170">
        <f>'Industry Assumptions'!$F$33*'Industry Assumptions'!$H$254</f>
        <v>0.65500000000000003</v>
      </c>
      <c r="X41" s="170">
        <f>'Industry Assumptions'!$E$33*'Industry Assumptions'!$H$254</f>
        <v>0</v>
      </c>
      <c r="Y41" s="170">
        <f>'Industry Assumptions'!$F$33*'Industry Assumptions'!$H$254</f>
        <v>0.65500000000000003</v>
      </c>
      <c r="Z41" s="170">
        <f>'Industry Assumptions'!$E$33*'Industry Assumptions'!$H$254</f>
        <v>0</v>
      </c>
      <c r="AA41" s="170">
        <f>'Industry Assumptions'!$F$33*'Industry Assumptions'!$H$254</f>
        <v>0.65500000000000003</v>
      </c>
      <c r="AB41" s="170">
        <f>'Industry Assumptions'!$E$33*'Industry Assumptions'!$H$254</f>
        <v>0</v>
      </c>
      <c r="AC41" s="170">
        <f>'Industry Assumptions'!$F$33*'Industry Assumptions'!$H$254</f>
        <v>0.65500000000000003</v>
      </c>
      <c r="AD41" s="170">
        <f>'Industry Assumptions'!$E$33*'Industry Assumptions'!$H$254</f>
        <v>0</v>
      </c>
      <c r="AE41" s="170">
        <f>'Industry Assumptions'!$F$33*'Industry Assumptions'!$H$254</f>
        <v>0.65500000000000003</v>
      </c>
      <c r="AF41" s="170">
        <f>'Industry Assumptions'!$E$33*'Industry Assumptions'!$H$254</f>
        <v>0</v>
      </c>
      <c r="AG41" s="170">
        <f>'Industry Assumptions'!$F$33*'Industry Assumptions'!$H$254</f>
        <v>0.65500000000000003</v>
      </c>
      <c r="AH41" s="170">
        <f>'Industry Assumptions'!$E$33*'Industry Assumptions'!$H$254</f>
        <v>0</v>
      </c>
      <c r="AI41" s="170">
        <f>'Industry Assumptions'!$F$33*'Industry Assumptions'!$H$254</f>
        <v>0.65500000000000003</v>
      </c>
      <c r="AJ41" s="170">
        <f>'Industry Assumptions'!$E$33*'Industry Assumptions'!$H$254</f>
        <v>0</v>
      </c>
      <c r="AK41" s="170">
        <f>'Industry Assumptions'!$F$33*'Industry Assumptions'!$H$254</f>
        <v>0.65500000000000003</v>
      </c>
      <c r="AL41" s="170">
        <f>'Industry Assumptions'!$E$33*'Industry Assumptions'!$H$254</f>
        <v>0</v>
      </c>
      <c r="AM41" s="170">
        <f>'Industry Assumptions'!$F$33*'Industry Assumptions'!$H$254</f>
        <v>0.65500000000000003</v>
      </c>
      <c r="AN41" s="170">
        <f>'Industry Assumptions'!$E$33*'Industry Assumptions'!$H$254</f>
        <v>0</v>
      </c>
      <c r="AO41" s="170">
        <f>'Industry Assumptions'!$F$33*'Industry Assumptions'!$H$254</f>
        <v>0.65500000000000003</v>
      </c>
      <c r="AP41" s="186">
        <f t="shared" si="5"/>
        <v>0</v>
      </c>
      <c r="AQ41" s="267">
        <f t="shared" si="6"/>
        <v>12.444999999999999</v>
      </c>
      <c r="AR41" s="267">
        <f t="shared" si="7"/>
        <v>0</v>
      </c>
      <c r="AS41" s="340">
        <f t="shared" si="8"/>
        <v>0.62224999999999997</v>
      </c>
    </row>
    <row r="42" spans="1:46">
      <c r="A42" s="90" t="s">
        <v>1289</v>
      </c>
      <c r="B42" s="170">
        <v>0</v>
      </c>
      <c r="C42" s="170">
        <v>0</v>
      </c>
      <c r="D42" s="170">
        <f>'Industry Assumptions'!$E$34*'Industry Assumptions'!$J$254</f>
        <v>1.6375000000000001E-2</v>
      </c>
      <c r="E42" s="170">
        <f>'Industry Assumptions'!$F$34*'Industry Assumptions'!$J$254</f>
        <v>8.1875000000000003E-2</v>
      </c>
      <c r="F42" s="170">
        <f>'Industry Assumptions'!$E$34*'Industry Assumptions'!$J$254</f>
        <v>1.6375000000000001E-2</v>
      </c>
      <c r="G42" s="170">
        <f>'Industry Assumptions'!$F$34*'Industry Assumptions'!$J$254</f>
        <v>8.1875000000000003E-2</v>
      </c>
      <c r="H42" s="170">
        <f>'Industry Assumptions'!$E$34*'Industry Assumptions'!$J$254</f>
        <v>1.6375000000000001E-2</v>
      </c>
      <c r="I42" s="170">
        <f>'Industry Assumptions'!$F$34*'Industry Assumptions'!$J$254</f>
        <v>8.1875000000000003E-2</v>
      </c>
      <c r="J42" s="170">
        <f>'Industry Assumptions'!$E$34*'Industry Assumptions'!$J$254</f>
        <v>1.6375000000000001E-2</v>
      </c>
      <c r="K42" s="170">
        <f>'Industry Assumptions'!$F$34*'Industry Assumptions'!$J$254</f>
        <v>8.1875000000000003E-2</v>
      </c>
      <c r="L42" s="170">
        <f>'Industry Assumptions'!$E$34*'Industry Assumptions'!$J$254</f>
        <v>1.6375000000000001E-2</v>
      </c>
      <c r="M42" s="170">
        <f>'Industry Assumptions'!$F$34*'Industry Assumptions'!$J$254</f>
        <v>8.1875000000000003E-2</v>
      </c>
      <c r="N42" s="170">
        <f>'Industry Assumptions'!$E$34*'Industry Assumptions'!$J$254</f>
        <v>1.6375000000000001E-2</v>
      </c>
      <c r="O42" s="170">
        <f>'Industry Assumptions'!$F$34*'Industry Assumptions'!$J$254</f>
        <v>8.1875000000000003E-2</v>
      </c>
      <c r="P42" s="170">
        <f>'Industry Assumptions'!$E$34*'Industry Assumptions'!$J$254</f>
        <v>1.6375000000000001E-2</v>
      </c>
      <c r="Q42" s="170">
        <f>'Industry Assumptions'!$F$34*'Industry Assumptions'!$J$254</f>
        <v>8.1875000000000003E-2</v>
      </c>
      <c r="R42" s="170">
        <f>'Industry Assumptions'!$E$34*'Industry Assumptions'!$J$254</f>
        <v>1.6375000000000001E-2</v>
      </c>
      <c r="S42" s="170">
        <f>'Industry Assumptions'!$F$34*'Industry Assumptions'!$J$254</f>
        <v>8.1875000000000003E-2</v>
      </c>
      <c r="T42" s="170">
        <f>'Industry Assumptions'!$E$34*'Industry Assumptions'!$J$254</f>
        <v>1.6375000000000001E-2</v>
      </c>
      <c r="U42" s="170">
        <f>'Industry Assumptions'!$F$34*'Industry Assumptions'!$J$254</f>
        <v>8.1875000000000003E-2</v>
      </c>
      <c r="V42" s="170">
        <f>'Industry Assumptions'!$E$34*'Industry Assumptions'!$J$254</f>
        <v>1.6375000000000001E-2</v>
      </c>
      <c r="W42" s="170">
        <f>'Industry Assumptions'!$F$34*'Industry Assumptions'!$J$254</f>
        <v>8.1875000000000003E-2</v>
      </c>
      <c r="X42" s="341"/>
      <c r="Y42" s="341"/>
      <c r="Z42" s="341"/>
      <c r="AA42" s="341"/>
      <c r="AB42" s="341"/>
      <c r="AC42" s="341"/>
      <c r="AD42" s="341"/>
      <c r="AE42" s="341"/>
      <c r="AF42" s="341"/>
      <c r="AG42" s="341"/>
      <c r="AH42" s="341"/>
      <c r="AI42" s="341"/>
      <c r="AJ42" s="341"/>
      <c r="AK42" s="341"/>
      <c r="AL42" s="341"/>
      <c r="AM42" s="341"/>
      <c r="AN42" s="341"/>
      <c r="AO42" s="341"/>
      <c r="AP42" s="186">
        <f t="shared" si="5"/>
        <v>0.16375000000000001</v>
      </c>
      <c r="AQ42" s="267">
        <f t="shared" si="6"/>
        <v>0.8187500000000002</v>
      </c>
      <c r="AR42" s="267">
        <f t="shared" si="7"/>
        <v>8.1875000000000003E-3</v>
      </c>
      <c r="AS42" s="340">
        <f t="shared" si="8"/>
        <v>4.0937500000000009E-2</v>
      </c>
    </row>
    <row r="43" spans="1:46">
      <c r="B43" s="170"/>
      <c r="C43" s="170"/>
      <c r="D43" s="170"/>
      <c r="E43" s="170"/>
      <c r="F43" s="170"/>
      <c r="G43" s="170"/>
      <c r="H43" s="170"/>
      <c r="I43" s="342"/>
      <c r="J43" s="341"/>
      <c r="K43" s="341"/>
      <c r="L43" s="341"/>
      <c r="M43" s="341"/>
      <c r="N43" s="341"/>
      <c r="O43" s="341"/>
      <c r="P43" s="341"/>
      <c r="Q43" s="341"/>
      <c r="R43" s="341"/>
      <c r="S43" s="341"/>
      <c r="T43" s="341"/>
      <c r="U43" s="341"/>
      <c r="V43" s="341"/>
      <c r="W43" s="341"/>
      <c r="X43" s="341"/>
      <c r="Y43" s="341"/>
      <c r="Z43" s="341"/>
      <c r="AA43" s="341"/>
      <c r="AB43" s="341"/>
      <c r="AC43" s="341"/>
      <c r="AD43" s="341"/>
      <c r="AE43" s="341"/>
      <c r="AF43" s="341"/>
      <c r="AG43" s="341"/>
      <c r="AH43" s="341"/>
      <c r="AI43" s="341"/>
      <c r="AJ43" s="341"/>
      <c r="AK43" s="341"/>
      <c r="AL43" s="341"/>
      <c r="AM43" s="341"/>
      <c r="AN43" s="341"/>
      <c r="AO43" s="341"/>
      <c r="AP43" s="186">
        <f t="shared" si="5"/>
        <v>0</v>
      </c>
      <c r="AQ43" s="267">
        <f t="shared" si="6"/>
        <v>0</v>
      </c>
      <c r="AR43" s="267">
        <f t="shared" si="7"/>
        <v>0</v>
      </c>
      <c r="AS43" s="340">
        <f t="shared" si="8"/>
        <v>0</v>
      </c>
    </row>
    <row r="44" spans="1:46" s="3" customFormat="1">
      <c r="A44" s="74" t="s">
        <v>661</v>
      </c>
      <c r="B44" s="170">
        <f>B15+B16+B17+B18</f>
        <v>0</v>
      </c>
      <c r="C44" s="170">
        <f t="shared" ref="C44:AO44" si="9">C15+C16+C17+C18</f>
        <v>0</v>
      </c>
      <c r="D44" s="170">
        <f t="shared" si="9"/>
        <v>0</v>
      </c>
      <c r="E44" s="170">
        <f t="shared" si="9"/>
        <v>0</v>
      </c>
      <c r="F44" s="170">
        <f>F15+F16+F17+F18</f>
        <v>0.31649999999999995</v>
      </c>
      <c r="G44" s="170">
        <f>G15+G16+G17+G18</f>
        <v>1.7400000000000002</v>
      </c>
      <c r="H44" s="170">
        <f t="shared" si="9"/>
        <v>0</v>
      </c>
      <c r="I44" s="170">
        <f t="shared" si="9"/>
        <v>0</v>
      </c>
      <c r="J44" s="170">
        <f t="shared" si="9"/>
        <v>0</v>
      </c>
      <c r="K44" s="170">
        <f t="shared" si="9"/>
        <v>0</v>
      </c>
      <c r="L44" s="170">
        <f t="shared" si="9"/>
        <v>0</v>
      </c>
      <c r="M44" s="170">
        <f t="shared" si="9"/>
        <v>0</v>
      </c>
      <c r="N44" s="170">
        <f t="shared" si="9"/>
        <v>0</v>
      </c>
      <c r="O44" s="170">
        <f t="shared" si="9"/>
        <v>0</v>
      </c>
      <c r="P44" s="170">
        <f t="shared" si="9"/>
        <v>0</v>
      </c>
      <c r="Q44" s="170">
        <f t="shared" si="9"/>
        <v>0</v>
      </c>
      <c r="R44" s="170">
        <f t="shared" si="9"/>
        <v>0</v>
      </c>
      <c r="S44" s="170">
        <f t="shared" si="9"/>
        <v>0</v>
      </c>
      <c r="T44" s="170">
        <f t="shared" si="9"/>
        <v>0</v>
      </c>
      <c r="U44" s="170">
        <f t="shared" si="9"/>
        <v>0</v>
      </c>
      <c r="V44" s="170">
        <f t="shared" si="9"/>
        <v>0</v>
      </c>
      <c r="W44" s="170">
        <f t="shared" si="9"/>
        <v>0</v>
      </c>
      <c r="X44" s="170">
        <f t="shared" si="9"/>
        <v>0</v>
      </c>
      <c r="Y44" s="170">
        <f t="shared" si="9"/>
        <v>0</v>
      </c>
      <c r="Z44" s="170">
        <f t="shared" si="9"/>
        <v>0</v>
      </c>
      <c r="AA44" s="170">
        <f t="shared" si="9"/>
        <v>0</v>
      </c>
      <c r="AB44" s="170">
        <f t="shared" si="9"/>
        <v>0</v>
      </c>
      <c r="AC44" s="170">
        <f t="shared" si="9"/>
        <v>0</v>
      </c>
      <c r="AD44" s="170">
        <f t="shared" si="9"/>
        <v>0</v>
      </c>
      <c r="AE44" s="170">
        <f t="shared" si="9"/>
        <v>0</v>
      </c>
      <c r="AF44" s="170">
        <f t="shared" si="9"/>
        <v>0</v>
      </c>
      <c r="AG44" s="170">
        <f t="shared" si="9"/>
        <v>0</v>
      </c>
      <c r="AH44" s="170">
        <f t="shared" si="9"/>
        <v>0</v>
      </c>
      <c r="AI44" s="170">
        <f t="shared" si="9"/>
        <v>0</v>
      </c>
      <c r="AJ44" s="170">
        <f t="shared" si="9"/>
        <v>0</v>
      </c>
      <c r="AK44" s="170">
        <f t="shared" si="9"/>
        <v>0</v>
      </c>
      <c r="AL44" s="170">
        <f t="shared" si="9"/>
        <v>0</v>
      </c>
      <c r="AM44" s="170">
        <f t="shared" si="9"/>
        <v>0</v>
      </c>
      <c r="AN44" s="170">
        <f t="shared" si="9"/>
        <v>0</v>
      </c>
      <c r="AO44" s="170">
        <f t="shared" si="9"/>
        <v>0</v>
      </c>
      <c r="AP44" s="186">
        <f>B44+D44+F44+H44+J44+L44+N44+P44+R44+T44+V44+X44+Z44+AB44+AD44+AF44+AH44+AJ44+AL44+AN44</f>
        <v>0.31649999999999995</v>
      </c>
      <c r="AQ44" s="52">
        <f t="shared" si="6"/>
        <v>1.7400000000000002</v>
      </c>
      <c r="AR44" s="52">
        <f t="shared" si="7"/>
        <v>1.5824999999999999E-2</v>
      </c>
      <c r="AS44" s="133">
        <f t="shared" si="8"/>
        <v>8.7000000000000008E-2</v>
      </c>
    </row>
    <row r="45" spans="1:46" s="3" customFormat="1">
      <c r="A45" s="74" t="s">
        <v>662</v>
      </c>
      <c r="B45" s="170">
        <f>SUM(B19:B42)</f>
        <v>0</v>
      </c>
      <c r="C45" s="170">
        <f t="shared" ref="C45:AO45" si="10">SUM(C19:C42)</f>
        <v>0</v>
      </c>
      <c r="D45" s="170">
        <f t="shared" si="10"/>
        <v>0.55990000000000006</v>
      </c>
      <c r="E45" s="170">
        <f>SUM(E19:E42)</f>
        <v>17.643600000000003</v>
      </c>
      <c r="F45" s="170">
        <f>SUM(F19:F42)</f>
        <v>0.45989999999999998</v>
      </c>
      <c r="G45" s="170">
        <f>SUM(G19:G42)</f>
        <v>14.643600000000001</v>
      </c>
      <c r="H45" s="170">
        <f t="shared" si="10"/>
        <v>0.45989999999999998</v>
      </c>
      <c r="I45" s="170">
        <f t="shared" si="10"/>
        <v>14.643600000000001</v>
      </c>
      <c r="J45" s="170">
        <f t="shared" si="10"/>
        <v>0.57627499999999998</v>
      </c>
      <c r="K45" s="170">
        <f t="shared" si="10"/>
        <v>17.725475000000003</v>
      </c>
      <c r="L45" s="170">
        <f t="shared" si="10"/>
        <v>0.45989999999999998</v>
      </c>
      <c r="M45" s="170">
        <f t="shared" si="10"/>
        <v>14.643600000000001</v>
      </c>
      <c r="N45" s="170">
        <f t="shared" si="10"/>
        <v>0.45989999999999998</v>
      </c>
      <c r="O45" s="170">
        <f t="shared" si="10"/>
        <v>14.643600000000001</v>
      </c>
      <c r="P45" s="170">
        <f t="shared" si="10"/>
        <v>0.55990000000000006</v>
      </c>
      <c r="Q45" s="170">
        <f t="shared" si="10"/>
        <v>17.643600000000003</v>
      </c>
      <c r="R45" s="170">
        <f t="shared" si="10"/>
        <v>0.476275</v>
      </c>
      <c r="S45" s="170">
        <f t="shared" si="10"/>
        <v>14.725475000000001</v>
      </c>
      <c r="T45" s="170">
        <f t="shared" si="10"/>
        <v>0.45989999999999998</v>
      </c>
      <c r="U45" s="170">
        <f t="shared" si="10"/>
        <v>14.643600000000001</v>
      </c>
      <c r="V45" s="170">
        <f t="shared" si="10"/>
        <v>0.55990000000000006</v>
      </c>
      <c r="W45" s="170">
        <f t="shared" si="10"/>
        <v>17.643600000000003</v>
      </c>
      <c r="X45" s="170">
        <f t="shared" si="10"/>
        <v>0.443525</v>
      </c>
      <c r="Y45" s="170">
        <f t="shared" si="10"/>
        <v>14.561725000000001</v>
      </c>
      <c r="Z45" s="170">
        <f t="shared" si="10"/>
        <v>0.45989999999999998</v>
      </c>
      <c r="AA45" s="170">
        <f t="shared" si="10"/>
        <v>14.643600000000001</v>
      </c>
      <c r="AB45" s="170">
        <f t="shared" si="10"/>
        <v>0.54352500000000004</v>
      </c>
      <c r="AC45" s="170">
        <f t="shared" si="10"/>
        <v>17.561725000000003</v>
      </c>
      <c r="AD45" s="170">
        <f t="shared" si="10"/>
        <v>0.443525</v>
      </c>
      <c r="AE45" s="170">
        <f t="shared" si="10"/>
        <v>14.561725000000001</v>
      </c>
      <c r="AF45" s="170">
        <f t="shared" si="10"/>
        <v>0.443525</v>
      </c>
      <c r="AG45" s="170">
        <f t="shared" si="10"/>
        <v>14.561725000000001</v>
      </c>
      <c r="AH45" s="170">
        <f t="shared" si="10"/>
        <v>0.55989999999999995</v>
      </c>
      <c r="AI45" s="170">
        <f t="shared" si="10"/>
        <v>17.643600000000003</v>
      </c>
      <c r="AJ45" s="170">
        <f t="shared" si="10"/>
        <v>0.443525</v>
      </c>
      <c r="AK45" s="170">
        <f t="shared" si="10"/>
        <v>14.561725000000001</v>
      </c>
      <c r="AL45" s="170">
        <f t="shared" si="10"/>
        <v>0.443525</v>
      </c>
      <c r="AM45" s="170">
        <f t="shared" si="10"/>
        <v>14.561725000000001</v>
      </c>
      <c r="AN45" s="170">
        <f t="shared" si="10"/>
        <v>0.54352500000000004</v>
      </c>
      <c r="AO45" s="170">
        <f t="shared" si="10"/>
        <v>17.561725000000003</v>
      </c>
      <c r="AP45" s="186">
        <f t="shared" si="5"/>
        <v>9.3562250000000002</v>
      </c>
      <c r="AQ45" s="267">
        <f t="shared" si="6"/>
        <v>298.81902500000007</v>
      </c>
      <c r="AR45" s="52">
        <f t="shared" si="7"/>
        <v>0.46781125000000001</v>
      </c>
      <c r="AS45" s="133">
        <f t="shared" si="8"/>
        <v>14.940951250000003</v>
      </c>
    </row>
    <row r="46" spans="1:46" s="3" customFormat="1">
      <c r="A46" s="3" t="s">
        <v>649</v>
      </c>
      <c r="B46" s="343">
        <f>B45+B44</f>
        <v>0</v>
      </c>
      <c r="C46" s="343">
        <f t="shared" ref="C46:AO46" si="11">C45+C44</f>
        <v>0</v>
      </c>
      <c r="D46" s="343">
        <f t="shared" si="11"/>
        <v>0.55990000000000006</v>
      </c>
      <c r="E46" s="343">
        <f t="shared" si="11"/>
        <v>17.643600000000003</v>
      </c>
      <c r="F46" s="343">
        <f t="shared" si="11"/>
        <v>0.77639999999999998</v>
      </c>
      <c r="G46" s="343">
        <f t="shared" si="11"/>
        <v>16.383600000000001</v>
      </c>
      <c r="H46" s="343">
        <f t="shared" si="11"/>
        <v>0.45989999999999998</v>
      </c>
      <c r="I46" s="343">
        <f t="shared" si="11"/>
        <v>14.643600000000001</v>
      </c>
      <c r="J46" s="343">
        <f t="shared" si="11"/>
        <v>0.57627499999999998</v>
      </c>
      <c r="K46" s="343">
        <f t="shared" si="11"/>
        <v>17.725475000000003</v>
      </c>
      <c r="L46" s="343">
        <f t="shared" si="11"/>
        <v>0.45989999999999998</v>
      </c>
      <c r="M46" s="343">
        <f t="shared" si="11"/>
        <v>14.643600000000001</v>
      </c>
      <c r="N46" s="343">
        <f t="shared" si="11"/>
        <v>0.45989999999999998</v>
      </c>
      <c r="O46" s="343">
        <f t="shared" si="11"/>
        <v>14.643600000000001</v>
      </c>
      <c r="P46" s="343">
        <f t="shared" si="11"/>
        <v>0.55990000000000006</v>
      </c>
      <c r="Q46" s="343">
        <f t="shared" si="11"/>
        <v>17.643600000000003</v>
      </c>
      <c r="R46" s="343">
        <f t="shared" si="11"/>
        <v>0.476275</v>
      </c>
      <c r="S46" s="343">
        <f t="shared" si="11"/>
        <v>14.725475000000001</v>
      </c>
      <c r="T46" s="343">
        <f t="shared" si="11"/>
        <v>0.45989999999999998</v>
      </c>
      <c r="U46" s="343">
        <f t="shared" si="11"/>
        <v>14.643600000000001</v>
      </c>
      <c r="V46" s="343">
        <f t="shared" si="11"/>
        <v>0.55990000000000006</v>
      </c>
      <c r="W46" s="343">
        <f t="shared" si="11"/>
        <v>17.643600000000003</v>
      </c>
      <c r="X46" s="343">
        <f t="shared" si="11"/>
        <v>0.443525</v>
      </c>
      <c r="Y46" s="343">
        <f t="shared" si="11"/>
        <v>14.561725000000001</v>
      </c>
      <c r="Z46" s="343">
        <f t="shared" si="11"/>
        <v>0.45989999999999998</v>
      </c>
      <c r="AA46" s="343">
        <f t="shared" si="11"/>
        <v>14.643600000000001</v>
      </c>
      <c r="AB46" s="343">
        <f t="shared" si="11"/>
        <v>0.54352500000000004</v>
      </c>
      <c r="AC46" s="343">
        <f t="shared" si="11"/>
        <v>17.561725000000003</v>
      </c>
      <c r="AD46" s="343">
        <f t="shared" si="11"/>
        <v>0.443525</v>
      </c>
      <c r="AE46" s="343">
        <f t="shared" si="11"/>
        <v>14.561725000000001</v>
      </c>
      <c r="AF46" s="343">
        <f t="shared" si="11"/>
        <v>0.443525</v>
      </c>
      <c r="AG46" s="343">
        <f t="shared" si="11"/>
        <v>14.561725000000001</v>
      </c>
      <c r="AH46" s="343">
        <f t="shared" si="11"/>
        <v>0.55989999999999995</v>
      </c>
      <c r="AI46" s="343">
        <f t="shared" si="11"/>
        <v>17.643600000000003</v>
      </c>
      <c r="AJ46" s="343">
        <f t="shared" si="11"/>
        <v>0.443525</v>
      </c>
      <c r="AK46" s="343">
        <f t="shared" si="11"/>
        <v>14.561725000000001</v>
      </c>
      <c r="AL46" s="343">
        <f t="shared" si="11"/>
        <v>0.443525</v>
      </c>
      <c r="AM46" s="343">
        <f t="shared" si="11"/>
        <v>14.561725000000001</v>
      </c>
      <c r="AN46" s="343">
        <f t="shared" si="11"/>
        <v>0.54352500000000004</v>
      </c>
      <c r="AO46" s="343">
        <f t="shared" si="11"/>
        <v>17.561725000000003</v>
      </c>
      <c r="AP46" s="355">
        <f t="shared" si="5"/>
        <v>9.6727249999999998</v>
      </c>
      <c r="AQ46" s="344">
        <f t="shared" si="6"/>
        <v>300.55902500000002</v>
      </c>
      <c r="AR46" s="34">
        <f t="shared" si="7"/>
        <v>0.48363624999999999</v>
      </c>
      <c r="AS46" s="35">
        <f t="shared" si="8"/>
        <v>15.027951250000001</v>
      </c>
    </row>
    <row r="47" spans="1:46">
      <c r="A47" s="345" t="s">
        <v>123</v>
      </c>
      <c r="B47" s="267">
        <v>0.96618357487922713</v>
      </c>
      <c r="C47" s="267">
        <v>0.96618357487922713</v>
      </c>
      <c r="D47" s="267">
        <v>0.93351070036640305</v>
      </c>
      <c r="E47" s="267">
        <v>0.93351070036640305</v>
      </c>
      <c r="F47" s="267">
        <v>0.90194270566802237</v>
      </c>
      <c r="G47" s="267">
        <v>0.90194270566802237</v>
      </c>
      <c r="H47" s="267">
        <v>0.87144222769857238</v>
      </c>
      <c r="I47" s="267">
        <v>0.87144222769857238</v>
      </c>
      <c r="J47" s="267">
        <v>0.84197316685852419</v>
      </c>
      <c r="K47" s="267">
        <v>0.84197316685852419</v>
      </c>
      <c r="L47" s="267">
        <v>0.81350064430775282</v>
      </c>
      <c r="M47" s="267">
        <v>0.81350064430775282</v>
      </c>
      <c r="N47" s="267">
        <v>0.78599096068381913</v>
      </c>
      <c r="O47" s="267">
        <v>0.78599096068381913</v>
      </c>
      <c r="P47" s="267">
        <v>0.75941155621625056</v>
      </c>
      <c r="Q47" s="267">
        <v>0.75941155621625056</v>
      </c>
      <c r="R47" s="267">
        <v>0.73373097218961414</v>
      </c>
      <c r="S47" s="267">
        <v>0.73373097218961414</v>
      </c>
      <c r="T47" s="267">
        <v>0.70891881370977217</v>
      </c>
      <c r="U47" s="267">
        <v>0.70891881370977217</v>
      </c>
      <c r="V47" s="267">
        <v>0.68494571372924851</v>
      </c>
      <c r="W47" s="267">
        <v>0.68494571372924851</v>
      </c>
      <c r="X47" s="267">
        <v>0.66178329828912896</v>
      </c>
      <c r="Y47" s="267">
        <v>0.66178329828912896</v>
      </c>
      <c r="Z47" s="267">
        <v>0.63940415293635666</v>
      </c>
      <c r="AA47" s="267">
        <v>0.63940415293635666</v>
      </c>
      <c r="AB47" s="267">
        <v>0.61778179027667302</v>
      </c>
      <c r="AC47" s="267">
        <v>0.61778179027667302</v>
      </c>
      <c r="AD47" s="267">
        <v>0.59689061862480497</v>
      </c>
      <c r="AE47" s="267">
        <v>0.59689061862480497</v>
      </c>
      <c r="AF47" s="267">
        <v>0.57670591171478747</v>
      </c>
      <c r="AG47" s="267">
        <v>0.57670591171478747</v>
      </c>
      <c r="AH47" s="267">
        <v>0.55720377943457733</v>
      </c>
      <c r="AI47" s="267">
        <v>0.55720377943457733</v>
      </c>
      <c r="AJ47" s="267">
        <v>0.53836113955031628</v>
      </c>
      <c r="AK47" s="267">
        <v>0.53836113955031628</v>
      </c>
      <c r="AL47" s="267">
        <v>0.52015569038677911</v>
      </c>
      <c r="AM47" s="267">
        <v>0.52015569038677911</v>
      </c>
      <c r="AN47" s="267">
        <v>0.50256588443167061</v>
      </c>
      <c r="AO47" s="267">
        <v>0.50256588443167061</v>
      </c>
      <c r="AP47" s="186">
        <f t="shared" si="5"/>
        <v>14.2124033019523</v>
      </c>
      <c r="AQ47" s="267">
        <f t="shared" si="6"/>
        <v>14.2124033019523</v>
      </c>
      <c r="AR47" s="170"/>
      <c r="AS47" s="171"/>
    </row>
    <row r="48" spans="1:46" s="3" customFormat="1" ht="13.5" thickBot="1">
      <c r="A48" s="351" t="s">
        <v>663</v>
      </c>
      <c r="B48" s="352">
        <f>B47*B46</f>
        <v>0</v>
      </c>
      <c r="C48" s="352">
        <f t="shared" ref="C48:AO48" si="12">C47*C46</f>
        <v>0</v>
      </c>
      <c r="D48" s="352">
        <f t="shared" si="12"/>
        <v>0.52267264113514911</v>
      </c>
      <c r="E48" s="352">
        <f t="shared" si="12"/>
        <v>16.470489392984671</v>
      </c>
      <c r="F48" s="352">
        <f t="shared" si="12"/>
        <v>0.70026831668065259</v>
      </c>
      <c r="G48" s="352">
        <f t="shared" si="12"/>
        <v>14.777068512582613</v>
      </c>
      <c r="H48" s="352">
        <f t="shared" si="12"/>
        <v>0.40077628051857339</v>
      </c>
      <c r="I48" s="352">
        <f t="shared" si="12"/>
        <v>12.761051405526816</v>
      </c>
      <c r="J48" s="352">
        <f t="shared" si="12"/>
        <v>0.48520808673139604</v>
      </c>
      <c r="K48" s="352">
        <f t="shared" si="12"/>
        <v>14.924374319821602</v>
      </c>
      <c r="L48" s="352">
        <f t="shared" si="12"/>
        <v>0.3741289463171355</v>
      </c>
      <c r="M48" s="352">
        <f t="shared" si="12"/>
        <v>11.91257803498501</v>
      </c>
      <c r="N48" s="352">
        <f t="shared" si="12"/>
        <v>0.36147724281848842</v>
      </c>
      <c r="O48" s="352">
        <f t="shared" si="12"/>
        <v>11.509737231869575</v>
      </c>
      <c r="P48" s="352">
        <f t="shared" si="12"/>
        <v>0.42519453032547871</v>
      </c>
      <c r="Q48" s="352">
        <f t="shared" si="12"/>
        <v>13.39875373325704</v>
      </c>
      <c r="R48" s="352">
        <f t="shared" si="12"/>
        <v>0.34945771877960846</v>
      </c>
      <c r="S48" s="352">
        <f t="shared" si="12"/>
        <v>10.80453708770386</v>
      </c>
      <c r="T48" s="352">
        <f t="shared" si="12"/>
        <v>0.32603176242512422</v>
      </c>
      <c r="U48" s="352">
        <f t="shared" si="12"/>
        <v>10.38112354044042</v>
      </c>
      <c r="V48" s="352">
        <f t="shared" si="12"/>
        <v>0.3835011051170063</v>
      </c>
      <c r="W48" s="352">
        <f t="shared" si="12"/>
        <v>12.084908194753371</v>
      </c>
      <c r="X48" s="352">
        <f t="shared" si="12"/>
        <v>0.29351743737368591</v>
      </c>
      <c r="Y48" s="352">
        <f t="shared" si="12"/>
        <v>9.6367063992792676</v>
      </c>
      <c r="Z48" s="352">
        <f t="shared" si="12"/>
        <v>0.29406196993543043</v>
      </c>
      <c r="AA48" s="352">
        <f t="shared" si="12"/>
        <v>9.3631786539388333</v>
      </c>
      <c r="AB48" s="352">
        <f t="shared" si="12"/>
        <v>0.33577984756012874</v>
      </c>
      <c r="AC48" s="352">
        <f t="shared" si="12"/>
        <v>10.849313910846607</v>
      </c>
      <c r="AD48" s="352">
        <f t="shared" si="12"/>
        <v>0.26473591162556664</v>
      </c>
      <c r="AE48" s="352">
        <f t="shared" si="12"/>
        <v>8.6917570434942881</v>
      </c>
      <c r="AF48" s="352">
        <f t="shared" si="12"/>
        <v>0.2557834894933011</v>
      </c>
      <c r="AG48" s="352">
        <f t="shared" si="12"/>
        <v>8.3978328922650132</v>
      </c>
      <c r="AH48" s="352">
        <f t="shared" si="12"/>
        <v>0.31197839610541983</v>
      </c>
      <c r="AI48" s="352">
        <f t="shared" si="12"/>
        <v>9.8310806028319107</v>
      </c>
      <c r="AJ48" s="352">
        <f t="shared" si="12"/>
        <v>0.23877662441905403</v>
      </c>
      <c r="AK48" s="352">
        <f t="shared" si="12"/>
        <v>7.8394668648183297</v>
      </c>
      <c r="AL48" s="352">
        <f t="shared" si="12"/>
        <v>0.2307020525787962</v>
      </c>
      <c r="AM48" s="352">
        <f t="shared" si="12"/>
        <v>7.5743641205974219</v>
      </c>
      <c r="AN48" s="352">
        <f t="shared" si="12"/>
        <v>0.27315712233572381</v>
      </c>
      <c r="AO48" s="352">
        <f t="shared" si="12"/>
        <v>8.8259238567707818</v>
      </c>
      <c r="AP48" s="183">
        <f t="shared" si="5"/>
        <v>6.8272094822757197</v>
      </c>
      <c r="AQ48" s="38">
        <f t="shared" si="6"/>
        <v>210.03424579876739</v>
      </c>
      <c r="AR48" s="353"/>
      <c r="AS48" s="354"/>
      <c r="AT48" s="13"/>
    </row>
    <row r="49" spans="2:45">
      <c r="B49" s="339"/>
      <c r="C49" s="346"/>
      <c r="D49" s="339"/>
      <c r="E49" s="339"/>
      <c r="F49" s="339"/>
      <c r="G49" s="339"/>
      <c r="H49" s="339"/>
      <c r="I49" s="339"/>
      <c r="J49" s="347"/>
      <c r="K49" s="347"/>
      <c r="L49" s="347"/>
      <c r="M49" s="347"/>
      <c r="N49" s="347"/>
      <c r="O49" s="347"/>
      <c r="P49" s="347"/>
      <c r="Q49" s="347"/>
      <c r="R49" s="347"/>
      <c r="S49" s="347"/>
      <c r="T49" s="347"/>
      <c r="U49" s="347"/>
      <c r="V49" s="347"/>
      <c r="W49" s="347"/>
      <c r="X49" s="347"/>
      <c r="Y49" s="347"/>
      <c r="Z49" s="347"/>
      <c r="AA49" s="347"/>
      <c r="AB49" s="347"/>
      <c r="AC49" s="347"/>
      <c r="AD49" s="347"/>
      <c r="AE49" s="347"/>
      <c r="AF49" s="347"/>
      <c r="AG49" s="347"/>
      <c r="AH49" s="347"/>
      <c r="AI49" s="347"/>
      <c r="AJ49" s="347"/>
      <c r="AK49" s="347"/>
      <c r="AL49" s="347"/>
      <c r="AM49" s="347"/>
      <c r="AN49" s="347"/>
      <c r="AO49" s="347"/>
      <c r="AP49" s="347"/>
      <c r="AQ49" s="347"/>
      <c r="AR49" s="347"/>
      <c r="AS49" s="347"/>
    </row>
    <row r="50" spans="2:45">
      <c r="B50" s="81"/>
      <c r="C50" s="75"/>
      <c r="D50" s="81"/>
      <c r="E50" s="81"/>
      <c r="F50" s="81"/>
      <c r="G50" s="81"/>
      <c r="H50" s="81"/>
      <c r="I50" s="81"/>
    </row>
    <row r="51" spans="2:45">
      <c r="B51" s="81"/>
      <c r="C51" s="75"/>
      <c r="D51" s="81"/>
      <c r="E51" s="81"/>
      <c r="F51" s="81"/>
      <c r="G51" s="81"/>
      <c r="H51" s="81"/>
      <c r="I51" s="81"/>
    </row>
    <row r="58" spans="2:45">
      <c r="B58" s="81"/>
      <c r="C58" s="75"/>
      <c r="D58" s="81"/>
      <c r="E58" s="81"/>
      <c r="F58" s="81"/>
      <c r="G58" s="81"/>
      <c r="H58" s="81"/>
      <c r="I58" s="81"/>
    </row>
    <row r="59" spans="2:45">
      <c r="B59" s="81"/>
      <c r="C59" s="75"/>
      <c r="D59" s="81"/>
      <c r="E59" s="81"/>
      <c r="F59" s="81"/>
      <c r="G59" s="81"/>
      <c r="H59" s="81"/>
      <c r="I59" s="81"/>
    </row>
    <row r="60" spans="2:45">
      <c r="B60" s="81"/>
      <c r="C60" s="75"/>
      <c r="D60" s="81"/>
      <c r="E60" s="81"/>
      <c r="F60" s="81"/>
      <c r="G60" s="81"/>
      <c r="H60" s="81"/>
      <c r="I60" s="81"/>
    </row>
    <row r="61" spans="2:45">
      <c r="B61" s="81"/>
      <c r="C61" s="75"/>
      <c r="D61" s="81"/>
      <c r="E61" s="81"/>
      <c r="F61" s="81"/>
      <c r="G61" s="81"/>
      <c r="H61" s="81"/>
      <c r="I61" s="81"/>
    </row>
    <row r="62" spans="2:45">
      <c r="B62" s="81"/>
      <c r="C62" s="75"/>
      <c r="D62" s="81"/>
      <c r="E62" s="81"/>
      <c r="F62" s="81"/>
      <c r="G62" s="81"/>
      <c r="H62" s="81"/>
      <c r="I62" s="81"/>
    </row>
    <row r="63" spans="2:45">
      <c r="B63" s="81"/>
      <c r="C63" s="75"/>
      <c r="D63" s="81"/>
      <c r="E63" s="81"/>
      <c r="F63" s="81"/>
      <c r="G63" s="81"/>
      <c r="H63" s="81"/>
      <c r="I63" s="81"/>
    </row>
    <row r="64" spans="2:45">
      <c r="B64" s="81"/>
      <c r="C64" s="81"/>
      <c r="D64" s="81"/>
      <c r="E64" s="81"/>
      <c r="F64" s="81"/>
      <c r="G64" s="81"/>
      <c r="H64" s="81"/>
      <c r="I64" s="81"/>
    </row>
    <row r="65" spans="2:9">
      <c r="B65" s="81"/>
      <c r="C65" s="81"/>
      <c r="D65" s="81"/>
      <c r="E65" s="81"/>
      <c r="F65" s="81"/>
      <c r="G65" s="81"/>
      <c r="H65" s="81"/>
      <c r="I65" s="81"/>
    </row>
    <row r="66" spans="2:9">
      <c r="B66" s="81"/>
      <c r="C66" s="81"/>
      <c r="D66" s="81"/>
      <c r="E66" s="81"/>
      <c r="F66" s="81"/>
      <c r="G66" s="81"/>
      <c r="H66" s="81"/>
      <c r="I66" s="81"/>
    </row>
    <row r="67" spans="2:9">
      <c r="B67" s="81"/>
      <c r="C67" s="81"/>
      <c r="D67" s="81"/>
      <c r="E67" s="81"/>
      <c r="F67" s="81"/>
      <c r="G67" s="81"/>
      <c r="H67" s="81"/>
      <c r="I67" s="81"/>
    </row>
    <row r="68" spans="2:9">
      <c r="B68" s="81"/>
      <c r="C68" s="81"/>
      <c r="D68" s="81"/>
      <c r="E68" s="81"/>
      <c r="F68" s="81"/>
      <c r="G68" s="81"/>
      <c r="H68" s="81"/>
      <c r="I68" s="81"/>
    </row>
    <row r="69" spans="2:9">
      <c r="B69" s="81"/>
      <c r="C69" s="81"/>
      <c r="D69" s="81"/>
      <c r="E69" s="81"/>
      <c r="F69" s="81"/>
      <c r="G69" s="81"/>
      <c r="H69" s="81"/>
      <c r="I69" s="81"/>
    </row>
    <row r="70" spans="2:9">
      <c r="B70" s="81"/>
      <c r="C70" s="81"/>
      <c r="D70" s="81"/>
      <c r="E70" s="81"/>
      <c r="F70" s="81"/>
      <c r="G70" s="81"/>
      <c r="H70" s="81"/>
      <c r="I70" s="81"/>
    </row>
    <row r="71" spans="2:9">
      <c r="B71" s="81"/>
      <c r="C71" s="81"/>
      <c r="D71" s="81"/>
      <c r="E71" s="81"/>
      <c r="F71" s="81"/>
      <c r="G71" s="81"/>
      <c r="H71" s="81"/>
      <c r="I71" s="81"/>
    </row>
    <row r="72" spans="2:9">
      <c r="B72" s="81"/>
      <c r="C72" s="81"/>
      <c r="D72" s="81"/>
      <c r="E72" s="81"/>
      <c r="F72" s="81"/>
      <c r="G72" s="81"/>
      <c r="H72" s="81"/>
      <c r="I72" s="81"/>
    </row>
    <row r="73" spans="2:9">
      <c r="B73" s="81"/>
      <c r="C73" s="81"/>
      <c r="D73" s="81"/>
      <c r="E73" s="81"/>
      <c r="F73" s="81"/>
      <c r="G73" s="81"/>
      <c r="H73" s="81"/>
      <c r="I73" s="81"/>
    </row>
    <row r="74" spans="2:9">
      <c r="B74" s="81"/>
      <c r="C74" s="81"/>
      <c r="D74" s="81"/>
      <c r="E74" s="81"/>
      <c r="F74" s="81"/>
      <c r="G74" s="81"/>
      <c r="H74" s="81"/>
      <c r="I74" s="81"/>
    </row>
    <row r="75" spans="2:9">
      <c r="B75" s="81"/>
      <c r="C75" s="81"/>
      <c r="D75" s="81"/>
      <c r="E75" s="81"/>
      <c r="F75" s="81"/>
      <c r="G75" s="81"/>
      <c r="H75" s="81"/>
      <c r="I75" s="81"/>
    </row>
    <row r="76" spans="2:9">
      <c r="B76" s="81"/>
      <c r="C76" s="81"/>
      <c r="D76" s="81"/>
      <c r="E76" s="81"/>
      <c r="F76" s="81"/>
      <c r="G76" s="81"/>
      <c r="H76" s="81"/>
      <c r="I76" s="81"/>
    </row>
    <row r="77" spans="2:9">
      <c r="B77" s="81"/>
      <c r="C77" s="81"/>
      <c r="D77" s="81"/>
      <c r="E77" s="81"/>
      <c r="F77" s="81"/>
      <c r="G77" s="81"/>
      <c r="H77" s="81"/>
      <c r="I77" s="81"/>
    </row>
    <row r="78" spans="2:9">
      <c r="B78" s="81"/>
      <c r="C78" s="81"/>
      <c r="D78" s="81"/>
      <c r="E78" s="81"/>
      <c r="F78" s="81"/>
      <c r="G78" s="81"/>
      <c r="H78" s="81"/>
      <c r="I78" s="81"/>
    </row>
    <row r="79" spans="2:9">
      <c r="B79" s="81"/>
      <c r="C79" s="81"/>
      <c r="D79" s="81"/>
      <c r="E79" s="81"/>
      <c r="F79" s="81"/>
      <c r="G79" s="81"/>
      <c r="H79" s="81"/>
      <c r="I79" s="81"/>
    </row>
    <row r="80" spans="2:9">
      <c r="B80" s="81"/>
      <c r="C80" s="81"/>
      <c r="D80" s="81"/>
      <c r="E80" s="81"/>
      <c r="F80" s="81"/>
      <c r="G80" s="81"/>
      <c r="H80" s="81"/>
      <c r="I80" s="81"/>
    </row>
    <row r="81" spans="2:9">
      <c r="B81" s="81"/>
      <c r="C81" s="81"/>
      <c r="D81" s="81"/>
      <c r="E81" s="81"/>
      <c r="F81" s="81"/>
      <c r="G81" s="81"/>
      <c r="H81" s="81"/>
      <c r="I81" s="81"/>
    </row>
    <row r="82" spans="2:9">
      <c r="B82" s="81"/>
      <c r="C82" s="81"/>
      <c r="D82" s="81"/>
      <c r="E82" s="81"/>
      <c r="F82" s="81"/>
      <c r="G82" s="81"/>
      <c r="H82" s="81"/>
      <c r="I82" s="81"/>
    </row>
    <row r="83" spans="2:9">
      <c r="B83" s="81"/>
      <c r="C83" s="81"/>
      <c r="D83" s="81"/>
      <c r="E83" s="81"/>
      <c r="F83" s="81"/>
      <c r="G83" s="81"/>
      <c r="H83" s="81"/>
      <c r="I83" s="81"/>
    </row>
    <row r="84" spans="2:9">
      <c r="B84" s="81"/>
      <c r="C84" s="81"/>
      <c r="D84" s="81"/>
      <c r="E84" s="81"/>
      <c r="F84" s="81"/>
      <c r="G84" s="81"/>
      <c r="H84" s="81"/>
      <c r="I84" s="81"/>
    </row>
    <row r="85" spans="2:9">
      <c r="B85" s="81"/>
      <c r="C85" s="81"/>
      <c r="D85" s="81"/>
      <c r="E85" s="81"/>
      <c r="F85" s="81"/>
      <c r="G85" s="81"/>
      <c r="H85" s="81"/>
      <c r="I85" s="81"/>
    </row>
    <row r="86" spans="2:9">
      <c r="B86" s="81"/>
      <c r="C86" s="81"/>
      <c r="D86" s="81"/>
      <c r="E86" s="81"/>
      <c r="F86" s="81"/>
      <c r="G86" s="81"/>
      <c r="H86" s="81"/>
      <c r="I86" s="81"/>
    </row>
    <row r="87" spans="2:9">
      <c r="B87" s="81"/>
      <c r="C87" s="81"/>
      <c r="D87" s="81"/>
      <c r="E87" s="81"/>
      <c r="F87" s="81"/>
      <c r="G87" s="81"/>
      <c r="H87" s="81"/>
      <c r="I87" s="81"/>
    </row>
    <row r="88" spans="2:9">
      <c r="B88" s="81"/>
      <c r="C88" s="81"/>
      <c r="D88" s="81"/>
      <c r="E88" s="81"/>
      <c r="F88" s="81"/>
      <c r="G88" s="81"/>
      <c r="H88" s="81"/>
      <c r="I88" s="81"/>
    </row>
    <row r="89" spans="2:9">
      <c r="B89" s="81"/>
      <c r="C89" s="81"/>
      <c r="D89" s="81"/>
      <c r="E89" s="81"/>
      <c r="F89" s="81"/>
      <c r="G89" s="81"/>
      <c r="H89" s="81"/>
      <c r="I89" s="81"/>
    </row>
    <row r="90" spans="2:9">
      <c r="B90" s="81"/>
      <c r="C90" s="81"/>
      <c r="D90" s="81"/>
      <c r="E90" s="81"/>
      <c r="F90" s="81"/>
      <c r="G90" s="81"/>
      <c r="H90" s="81"/>
      <c r="I90" s="81"/>
    </row>
    <row r="91" spans="2:9">
      <c r="B91" s="81"/>
      <c r="C91" s="81"/>
      <c r="D91" s="81"/>
      <c r="E91" s="81"/>
      <c r="F91" s="81"/>
      <c r="G91" s="81"/>
      <c r="H91" s="81"/>
      <c r="I91" s="81"/>
    </row>
    <row r="92" spans="2:9">
      <c r="B92" s="81"/>
      <c r="C92" s="81"/>
      <c r="D92" s="81"/>
      <c r="E92" s="81"/>
      <c r="F92" s="81"/>
      <c r="G92" s="81"/>
      <c r="H92" s="81"/>
      <c r="I92" s="81"/>
    </row>
    <row r="93" spans="2:9">
      <c r="B93" s="81"/>
      <c r="C93" s="81"/>
      <c r="D93" s="81"/>
      <c r="E93" s="81"/>
      <c r="F93" s="81"/>
      <c r="G93" s="81"/>
      <c r="H93" s="81"/>
      <c r="I93" s="81"/>
    </row>
    <row r="94" spans="2:9">
      <c r="B94" s="81"/>
      <c r="C94" s="81"/>
      <c r="D94" s="81"/>
      <c r="E94" s="81"/>
      <c r="F94" s="81"/>
      <c r="G94" s="81"/>
      <c r="H94" s="81"/>
      <c r="I94" s="81"/>
    </row>
    <row r="95" spans="2:9">
      <c r="B95" s="81"/>
      <c r="C95" s="81"/>
      <c r="D95" s="81"/>
      <c r="E95" s="81"/>
      <c r="F95" s="81"/>
      <c r="G95" s="81"/>
      <c r="H95" s="81"/>
      <c r="I95" s="81"/>
    </row>
    <row r="96" spans="2:9">
      <c r="B96" s="81"/>
      <c r="C96" s="81"/>
      <c r="D96" s="81"/>
      <c r="E96" s="81"/>
      <c r="F96" s="81"/>
      <c r="G96" s="81"/>
      <c r="H96" s="81"/>
      <c r="I96" s="81"/>
    </row>
    <row r="97" spans="2:9">
      <c r="B97" s="81"/>
      <c r="C97" s="81"/>
      <c r="D97" s="81"/>
      <c r="E97" s="81"/>
      <c r="F97" s="81"/>
      <c r="G97" s="81"/>
      <c r="H97" s="81"/>
      <c r="I97" s="81"/>
    </row>
    <row r="98" spans="2:9">
      <c r="B98" s="81"/>
      <c r="C98" s="81"/>
      <c r="D98" s="81"/>
      <c r="E98" s="81"/>
      <c r="F98" s="81"/>
      <c r="G98" s="81"/>
      <c r="H98" s="81"/>
      <c r="I98" s="81"/>
    </row>
    <row r="99" spans="2:9">
      <c r="B99" s="81"/>
      <c r="C99" s="81"/>
      <c r="D99" s="81"/>
      <c r="E99" s="81"/>
      <c r="F99" s="81"/>
      <c r="G99" s="81"/>
      <c r="H99" s="81"/>
      <c r="I99" s="81"/>
    </row>
    <row r="100" spans="2:9">
      <c r="B100" s="81"/>
      <c r="C100" s="81"/>
      <c r="D100" s="81"/>
      <c r="E100" s="81"/>
      <c r="F100" s="81"/>
      <c r="G100" s="81"/>
      <c r="H100" s="81"/>
      <c r="I100" s="81"/>
    </row>
    <row r="101" spans="2:9">
      <c r="B101" s="81"/>
      <c r="C101" s="81"/>
      <c r="D101" s="81"/>
      <c r="E101" s="81"/>
      <c r="F101" s="81"/>
      <c r="G101" s="81"/>
      <c r="H101" s="81"/>
      <c r="I101" s="81"/>
    </row>
    <row r="102" spans="2:9">
      <c r="B102" s="81"/>
      <c r="C102" s="81"/>
      <c r="D102" s="81"/>
      <c r="E102" s="81"/>
      <c r="F102" s="81"/>
      <c r="G102" s="81"/>
      <c r="H102" s="81"/>
      <c r="I102" s="81"/>
    </row>
    <row r="103" spans="2:9">
      <c r="B103" s="81"/>
      <c r="C103" s="81"/>
      <c r="D103" s="81"/>
      <c r="E103" s="81"/>
      <c r="F103" s="81"/>
      <c r="G103" s="81"/>
      <c r="H103" s="81"/>
      <c r="I103" s="81"/>
    </row>
    <row r="104" spans="2:9">
      <c r="B104" s="81"/>
      <c r="C104" s="81"/>
      <c r="D104" s="81"/>
      <c r="E104" s="81"/>
      <c r="F104" s="81"/>
      <c r="G104" s="81"/>
      <c r="H104" s="81"/>
      <c r="I104" s="81"/>
    </row>
    <row r="105" spans="2:9">
      <c r="B105" s="81"/>
      <c r="C105" s="81"/>
      <c r="D105" s="81"/>
      <c r="E105" s="81"/>
      <c r="F105" s="81"/>
      <c r="G105" s="81"/>
      <c r="H105" s="81"/>
      <c r="I105" s="81"/>
    </row>
    <row r="106" spans="2:9">
      <c r="B106" s="81"/>
      <c r="C106" s="81"/>
      <c r="D106" s="81"/>
      <c r="E106" s="81"/>
      <c r="F106" s="81"/>
      <c r="G106" s="81"/>
      <c r="H106" s="81"/>
      <c r="I106" s="81"/>
    </row>
    <row r="107" spans="2:9">
      <c r="B107" s="81"/>
      <c r="C107" s="81"/>
      <c r="D107" s="81"/>
      <c r="E107" s="81"/>
      <c r="F107" s="81"/>
      <c r="G107" s="81"/>
      <c r="H107" s="81"/>
      <c r="I107" s="81"/>
    </row>
    <row r="108" spans="2:9">
      <c r="B108" s="81"/>
      <c r="C108" s="81"/>
      <c r="D108" s="81"/>
      <c r="E108" s="81"/>
      <c r="F108" s="81"/>
      <c r="G108" s="81"/>
      <c r="H108" s="81"/>
      <c r="I108" s="81"/>
    </row>
    <row r="109" spans="2:9">
      <c r="B109" s="81"/>
      <c r="C109" s="81"/>
      <c r="D109" s="81"/>
      <c r="E109" s="81"/>
      <c r="F109" s="81"/>
      <c r="G109" s="81"/>
      <c r="H109" s="81"/>
      <c r="I109" s="81"/>
    </row>
    <row r="110" spans="2:9">
      <c r="B110" s="81"/>
      <c r="C110" s="81"/>
      <c r="D110" s="81"/>
      <c r="E110" s="81"/>
      <c r="F110" s="81"/>
      <c r="G110" s="81"/>
      <c r="H110" s="81"/>
      <c r="I110" s="81"/>
    </row>
    <row r="111" spans="2:9">
      <c r="B111" s="81"/>
      <c r="C111" s="81"/>
      <c r="D111" s="81"/>
      <c r="E111" s="81"/>
      <c r="F111" s="81"/>
      <c r="G111" s="81"/>
      <c r="H111" s="81"/>
      <c r="I111" s="81"/>
    </row>
    <row r="112" spans="2:9">
      <c r="B112" s="81"/>
      <c r="C112" s="81"/>
      <c r="D112" s="81"/>
      <c r="E112" s="81"/>
      <c r="F112" s="81"/>
      <c r="G112" s="81"/>
      <c r="H112" s="81"/>
      <c r="I112" s="81"/>
    </row>
    <row r="113" spans="2:9">
      <c r="B113" s="81"/>
      <c r="C113" s="81"/>
      <c r="D113" s="81"/>
      <c r="E113" s="81"/>
      <c r="F113" s="81"/>
      <c r="G113" s="81"/>
      <c r="H113" s="81"/>
      <c r="I113" s="81"/>
    </row>
    <row r="114" spans="2:9">
      <c r="B114" s="81"/>
      <c r="C114" s="81"/>
      <c r="D114" s="81"/>
      <c r="E114" s="81"/>
      <c r="F114" s="81"/>
      <c r="G114" s="81"/>
      <c r="H114" s="81"/>
      <c r="I114" s="81"/>
    </row>
    <row r="115" spans="2:9">
      <c r="B115" s="81"/>
      <c r="C115" s="81"/>
      <c r="D115" s="81"/>
      <c r="E115" s="81"/>
      <c r="F115" s="81"/>
      <c r="G115" s="81"/>
      <c r="H115" s="81"/>
      <c r="I115" s="81"/>
    </row>
    <row r="116" spans="2:9">
      <c r="B116" s="81"/>
      <c r="C116" s="81"/>
      <c r="D116" s="81"/>
      <c r="E116" s="81"/>
      <c r="F116" s="81"/>
      <c r="G116" s="81"/>
      <c r="H116" s="81"/>
      <c r="I116" s="81"/>
    </row>
    <row r="117" spans="2:9">
      <c r="B117" s="81"/>
      <c r="C117" s="81"/>
      <c r="D117" s="81"/>
      <c r="E117" s="81"/>
      <c r="F117" s="81"/>
      <c r="G117" s="81"/>
      <c r="H117" s="81"/>
      <c r="I117" s="81"/>
    </row>
    <row r="118" spans="2:9">
      <c r="B118" s="81"/>
      <c r="C118" s="81"/>
      <c r="D118" s="81"/>
      <c r="E118" s="81"/>
      <c r="F118" s="81"/>
      <c r="G118" s="81"/>
      <c r="H118" s="81"/>
      <c r="I118" s="81"/>
    </row>
    <row r="119" spans="2:9">
      <c r="B119" s="81"/>
      <c r="C119" s="81"/>
      <c r="D119" s="81"/>
      <c r="E119" s="81"/>
      <c r="F119" s="81"/>
      <c r="G119" s="81"/>
      <c r="H119" s="81"/>
      <c r="I119" s="81"/>
    </row>
    <row r="120" spans="2:9">
      <c r="B120" s="81"/>
      <c r="C120" s="81"/>
      <c r="D120" s="81"/>
      <c r="E120" s="81"/>
      <c r="F120" s="81"/>
      <c r="G120" s="81"/>
      <c r="H120" s="81"/>
      <c r="I120" s="81"/>
    </row>
    <row r="121" spans="2:9">
      <c r="B121" s="81"/>
      <c r="C121" s="81"/>
      <c r="D121" s="81"/>
      <c r="E121" s="81"/>
      <c r="F121" s="81"/>
      <c r="G121" s="81"/>
      <c r="H121" s="81"/>
      <c r="I121" s="81"/>
    </row>
    <row r="122" spans="2:9">
      <c r="B122" s="81"/>
      <c r="C122" s="81"/>
      <c r="D122" s="81"/>
      <c r="E122" s="81"/>
      <c r="F122" s="81"/>
      <c r="G122" s="81"/>
      <c r="H122" s="81"/>
      <c r="I122" s="81"/>
    </row>
    <row r="123" spans="2:9">
      <c r="B123" s="81"/>
      <c r="C123" s="81"/>
      <c r="D123" s="81"/>
      <c r="E123" s="81"/>
      <c r="F123" s="81"/>
      <c r="G123" s="81"/>
      <c r="H123" s="81"/>
      <c r="I123" s="81"/>
    </row>
    <row r="124" spans="2:9">
      <c r="B124" s="81"/>
      <c r="C124" s="81"/>
      <c r="D124" s="81"/>
      <c r="E124" s="81"/>
      <c r="F124" s="81"/>
      <c r="G124" s="81"/>
      <c r="H124" s="81"/>
      <c r="I124" s="81"/>
    </row>
    <row r="125" spans="2:9">
      <c r="B125" s="81"/>
      <c r="C125" s="81"/>
      <c r="D125" s="81"/>
      <c r="E125" s="81"/>
      <c r="F125" s="81"/>
      <c r="G125" s="81"/>
      <c r="H125" s="81"/>
      <c r="I125" s="81"/>
    </row>
    <row r="126" spans="2:9">
      <c r="B126" s="81"/>
      <c r="C126" s="81"/>
      <c r="D126" s="81"/>
      <c r="E126" s="81"/>
      <c r="F126" s="81"/>
      <c r="G126" s="81"/>
      <c r="H126" s="81"/>
      <c r="I126" s="81"/>
    </row>
    <row r="127" spans="2:9">
      <c r="B127" s="81"/>
      <c r="C127" s="81"/>
      <c r="D127" s="81"/>
      <c r="E127" s="81"/>
      <c r="F127" s="81"/>
      <c r="G127" s="81"/>
      <c r="H127" s="81"/>
      <c r="I127" s="81"/>
    </row>
    <row r="128" spans="2:9">
      <c r="B128" s="81"/>
      <c r="C128" s="81"/>
      <c r="D128" s="81"/>
      <c r="E128" s="81"/>
      <c r="F128" s="81"/>
      <c r="G128" s="81"/>
      <c r="H128" s="81"/>
      <c r="I128" s="81"/>
    </row>
    <row r="129" spans="2:9">
      <c r="B129" s="81"/>
      <c r="C129" s="81"/>
      <c r="D129" s="81"/>
      <c r="E129" s="81"/>
      <c r="F129" s="81"/>
      <c r="G129" s="81"/>
      <c r="H129" s="81"/>
      <c r="I129" s="81"/>
    </row>
    <row r="130" spans="2:9">
      <c r="B130" s="81"/>
      <c r="C130" s="81"/>
      <c r="D130" s="81"/>
      <c r="E130" s="81"/>
      <c r="F130" s="81"/>
      <c r="G130" s="81"/>
      <c r="H130" s="81"/>
      <c r="I130" s="81"/>
    </row>
    <row r="131" spans="2:9">
      <c r="B131" s="81"/>
      <c r="C131" s="81"/>
      <c r="D131" s="81"/>
      <c r="E131" s="81"/>
      <c r="F131" s="81"/>
      <c r="G131" s="81"/>
      <c r="H131" s="81"/>
      <c r="I131" s="81"/>
    </row>
    <row r="132" spans="2:9">
      <c r="B132" s="81"/>
      <c r="C132" s="81"/>
      <c r="D132" s="81"/>
      <c r="E132" s="81"/>
      <c r="F132" s="81"/>
      <c r="G132" s="81"/>
      <c r="H132" s="81"/>
      <c r="I132" s="81"/>
    </row>
    <row r="133" spans="2:9">
      <c r="B133" s="81"/>
      <c r="C133" s="81"/>
      <c r="D133" s="81"/>
      <c r="E133" s="81"/>
      <c r="F133" s="81"/>
      <c r="G133" s="81"/>
      <c r="H133" s="81"/>
      <c r="I133" s="81"/>
    </row>
    <row r="134" spans="2:9">
      <c r="B134" s="81"/>
      <c r="C134" s="81"/>
      <c r="D134" s="81"/>
      <c r="E134" s="81"/>
      <c r="F134" s="81"/>
      <c r="G134" s="81"/>
      <c r="H134" s="81"/>
      <c r="I134" s="81"/>
    </row>
    <row r="135" spans="2:9">
      <c r="B135" s="81"/>
      <c r="C135" s="81"/>
      <c r="D135" s="81"/>
      <c r="E135" s="81"/>
      <c r="F135" s="81"/>
      <c r="G135" s="81"/>
      <c r="H135" s="81"/>
      <c r="I135" s="81"/>
    </row>
    <row r="136" spans="2:9">
      <c r="B136" s="81"/>
      <c r="C136" s="81"/>
      <c r="D136" s="81"/>
      <c r="E136" s="81"/>
      <c r="F136" s="81"/>
      <c r="G136" s="81"/>
      <c r="H136" s="81"/>
      <c r="I136" s="81"/>
    </row>
    <row r="137" spans="2:9">
      <c r="B137" s="81"/>
      <c r="C137" s="81"/>
      <c r="D137" s="81"/>
      <c r="E137" s="81"/>
      <c r="F137" s="81"/>
      <c r="G137" s="81"/>
      <c r="H137" s="81"/>
      <c r="I137" s="81"/>
    </row>
    <row r="138" spans="2:9">
      <c r="B138" s="81"/>
      <c r="C138" s="81"/>
      <c r="D138" s="81"/>
      <c r="E138" s="81"/>
      <c r="F138" s="81"/>
      <c r="G138" s="81"/>
      <c r="H138" s="81"/>
      <c r="I138" s="81"/>
    </row>
    <row r="139" spans="2:9">
      <c r="B139" s="81"/>
      <c r="C139" s="81"/>
      <c r="D139" s="81"/>
      <c r="E139" s="81"/>
      <c r="F139" s="81"/>
      <c r="G139" s="81"/>
      <c r="H139" s="81"/>
      <c r="I139" s="81"/>
    </row>
    <row r="140" spans="2:9">
      <c r="B140" s="81"/>
      <c r="C140" s="81"/>
      <c r="D140" s="81"/>
      <c r="E140" s="81"/>
      <c r="F140" s="81"/>
      <c r="G140" s="81"/>
      <c r="H140" s="81"/>
      <c r="I140" s="81"/>
    </row>
    <row r="141" spans="2:9">
      <c r="B141" s="81"/>
      <c r="C141" s="81"/>
      <c r="D141" s="81"/>
      <c r="E141" s="81"/>
      <c r="F141" s="81"/>
      <c r="G141" s="81"/>
      <c r="H141" s="81"/>
      <c r="I141" s="81"/>
    </row>
    <row r="142" spans="2:9">
      <c r="B142" s="81"/>
      <c r="C142" s="81"/>
      <c r="D142" s="81"/>
      <c r="E142" s="81"/>
      <c r="F142" s="81"/>
      <c r="G142" s="81"/>
      <c r="H142" s="81"/>
      <c r="I142" s="81"/>
    </row>
  </sheetData>
  <sheetProtection password="8725" sheet="1" objects="1" scenarios="1"/>
  <sortState ref="B3:C58">
    <sortCondition ref="B2"/>
  </sortState>
  <mergeCells count="43">
    <mergeCell ref="AP6:AQ7"/>
    <mergeCell ref="AR6:AS7"/>
    <mergeCell ref="AN6:AO6"/>
    <mergeCell ref="AD6:AE6"/>
    <mergeCell ref="AF6:AG6"/>
    <mergeCell ref="AH6:AI6"/>
    <mergeCell ref="AJ6:AK6"/>
    <mergeCell ref="AL6:AM6"/>
    <mergeCell ref="AF7:AG7"/>
    <mergeCell ref="AH7:AI7"/>
    <mergeCell ref="AJ7:AK7"/>
    <mergeCell ref="AL7:AM7"/>
    <mergeCell ref="AN7:AO7"/>
    <mergeCell ref="T6:U6"/>
    <mergeCell ref="V6:W6"/>
    <mergeCell ref="X6:Y6"/>
    <mergeCell ref="Z6:AA6"/>
    <mergeCell ref="AB6:AC6"/>
    <mergeCell ref="A4:S4"/>
    <mergeCell ref="B6:C6"/>
    <mergeCell ref="D6:E6"/>
    <mergeCell ref="F6:G6"/>
    <mergeCell ref="H6:I6"/>
    <mergeCell ref="J6:K6"/>
    <mergeCell ref="L6:M6"/>
    <mergeCell ref="N6:O6"/>
    <mergeCell ref="P6:Q6"/>
    <mergeCell ref="R6:S6"/>
    <mergeCell ref="B7:C7"/>
    <mergeCell ref="D7:E7"/>
    <mergeCell ref="F7:G7"/>
    <mergeCell ref="H7:I7"/>
    <mergeCell ref="J7:K7"/>
    <mergeCell ref="L7:M7"/>
    <mergeCell ref="N7:O7"/>
    <mergeCell ref="P7:Q7"/>
    <mergeCell ref="R7:S7"/>
    <mergeCell ref="T7:U7"/>
    <mergeCell ref="V7:W7"/>
    <mergeCell ref="X7:Y7"/>
    <mergeCell ref="Z7:AA7"/>
    <mergeCell ref="AB7:AC7"/>
    <mergeCell ref="AD7:AE7"/>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sheetPr filterMode="1"/>
  <dimension ref="A1:I360"/>
  <sheetViews>
    <sheetView zoomScale="80" zoomScaleNormal="80" workbookViewId="0">
      <selection activeCell="J21" sqref="J21"/>
    </sheetView>
  </sheetViews>
  <sheetFormatPr defaultRowHeight="12.75"/>
  <cols>
    <col min="1" max="1" width="13.85546875" style="74" customWidth="1"/>
    <col min="2" max="2" width="22" style="74" customWidth="1"/>
    <col min="3" max="3" width="39.7109375" style="74" customWidth="1"/>
    <col min="4" max="4" width="23.7109375" style="74" customWidth="1"/>
    <col min="5" max="5" width="17.5703125" style="74" customWidth="1"/>
    <col min="6" max="6" width="12" style="74" customWidth="1"/>
    <col min="7" max="7" width="24.140625" style="74" customWidth="1"/>
    <col min="8" max="8" width="19" style="74" customWidth="1"/>
    <col min="9" max="9" width="25.28515625" style="74" customWidth="1"/>
    <col min="10" max="16384" width="9.140625" style="74"/>
  </cols>
  <sheetData>
    <row r="1" spans="1:9">
      <c r="A1" s="364" t="s">
        <v>719</v>
      </c>
      <c r="B1" s="364" t="s">
        <v>720</v>
      </c>
      <c r="C1" s="364" t="s">
        <v>721</v>
      </c>
      <c r="D1" s="364" t="s">
        <v>722</v>
      </c>
      <c r="E1" s="364" t="s">
        <v>723</v>
      </c>
      <c r="F1" s="364" t="s">
        <v>724</v>
      </c>
      <c r="G1" s="364" t="s">
        <v>725</v>
      </c>
      <c r="H1" s="364" t="s">
        <v>726</v>
      </c>
      <c r="I1" s="364" t="s">
        <v>727</v>
      </c>
    </row>
    <row r="2" spans="1:9" s="1" customFormat="1" ht="15" hidden="1" customHeight="1" thickBot="1">
      <c r="A2" s="471" t="s">
        <v>728</v>
      </c>
      <c r="B2" s="471" t="s">
        <v>729</v>
      </c>
      <c r="C2" s="471" t="s">
        <v>730</v>
      </c>
      <c r="D2" s="471" t="s">
        <v>731</v>
      </c>
      <c r="E2" s="471" t="s">
        <v>732</v>
      </c>
      <c r="F2" s="471" t="s">
        <v>733</v>
      </c>
      <c r="G2" s="468">
        <v>40581</v>
      </c>
      <c r="H2" s="471"/>
      <c r="I2" s="471"/>
    </row>
    <row r="3" spans="1:9" s="1" customFormat="1" ht="15" hidden="1" customHeight="1">
      <c r="A3" s="471"/>
      <c r="B3" s="471"/>
      <c r="C3" s="471"/>
      <c r="D3" s="471"/>
      <c r="E3" s="471"/>
      <c r="F3" s="471"/>
      <c r="G3" s="468"/>
      <c r="H3" s="471"/>
      <c r="I3" s="471"/>
    </row>
    <row r="4" spans="1:9" s="1" customFormat="1" ht="15.75" hidden="1" thickBot="1">
      <c r="A4" s="472"/>
      <c r="B4" s="472"/>
      <c r="C4" s="472"/>
      <c r="D4" s="472"/>
      <c r="E4" s="472"/>
      <c r="F4" s="472"/>
      <c r="G4" s="469"/>
      <c r="H4" s="472"/>
      <c r="I4" s="472"/>
    </row>
    <row r="5" spans="1:9" s="1" customFormat="1" ht="15.75" hidden="1" thickBot="1">
      <c r="A5" s="474" t="s">
        <v>734</v>
      </c>
      <c r="B5" s="474" t="s">
        <v>729</v>
      </c>
      <c r="C5" s="474" t="s">
        <v>735</v>
      </c>
      <c r="D5" s="474" t="s">
        <v>731</v>
      </c>
      <c r="E5" s="474" t="s">
        <v>736</v>
      </c>
      <c r="F5" s="474" t="s">
        <v>737</v>
      </c>
      <c r="G5" s="473">
        <v>40557</v>
      </c>
      <c r="H5" s="474"/>
      <c r="I5" s="474"/>
    </row>
    <row r="6" spans="1:9" s="1" customFormat="1" ht="15.75" hidden="1" thickBot="1">
      <c r="A6" s="471"/>
      <c r="B6" s="471"/>
      <c r="C6" s="471"/>
      <c r="D6" s="471"/>
      <c r="E6" s="471"/>
      <c r="F6" s="471"/>
      <c r="G6" s="468"/>
      <c r="H6" s="471"/>
      <c r="I6" s="471"/>
    </row>
    <row r="7" spans="1:9" s="1" customFormat="1" ht="15.75" hidden="1" thickBot="1">
      <c r="A7" s="471"/>
      <c r="B7" s="471"/>
      <c r="C7" s="471"/>
      <c r="D7" s="471"/>
      <c r="E7" s="471"/>
      <c r="F7" s="471"/>
      <c r="G7" s="468"/>
      <c r="H7" s="471"/>
      <c r="I7" s="471"/>
    </row>
    <row r="8" spans="1:9" s="1" customFormat="1" ht="15.75" hidden="1" thickBot="1">
      <c r="A8" s="471"/>
      <c r="B8" s="471"/>
      <c r="C8" s="471"/>
      <c r="D8" s="471"/>
      <c r="E8" s="471"/>
      <c r="F8" s="471"/>
      <c r="G8" s="468"/>
      <c r="H8" s="471"/>
      <c r="I8" s="471"/>
    </row>
    <row r="9" spans="1:9">
      <c r="A9" s="470" t="s">
        <v>738</v>
      </c>
      <c r="B9" s="470" t="s">
        <v>729</v>
      </c>
      <c r="C9" s="470" t="s">
        <v>739</v>
      </c>
      <c r="D9" s="470" t="s">
        <v>731</v>
      </c>
      <c r="E9" s="470" t="s">
        <v>740</v>
      </c>
      <c r="F9" s="470" t="s">
        <v>737</v>
      </c>
      <c r="G9" s="467">
        <v>40563</v>
      </c>
      <c r="H9" s="467">
        <v>40967</v>
      </c>
      <c r="I9" s="467">
        <v>40967</v>
      </c>
    </row>
    <row r="10" spans="1:9" s="1" customFormat="1" ht="15.75" hidden="1" thickBot="1">
      <c r="A10" s="471"/>
      <c r="B10" s="471"/>
      <c r="C10" s="471"/>
      <c r="D10" s="471"/>
      <c r="E10" s="471"/>
      <c r="F10" s="471"/>
      <c r="G10" s="468"/>
      <c r="H10" s="468"/>
      <c r="I10" s="468"/>
    </row>
    <row r="11" spans="1:9" s="1" customFormat="1" ht="15.75" hidden="1" thickBot="1">
      <c r="A11" s="471"/>
      <c r="B11" s="471"/>
      <c r="C11" s="471"/>
      <c r="D11" s="471"/>
      <c r="E11" s="471"/>
      <c r="F11" s="471"/>
      <c r="G11" s="468"/>
      <c r="H11" s="468"/>
      <c r="I11" s="468"/>
    </row>
    <row r="12" spans="1:9" s="1" customFormat="1" ht="15.75" hidden="1" thickBot="1">
      <c r="A12" s="472"/>
      <c r="B12" s="472"/>
      <c r="C12" s="472"/>
      <c r="D12" s="472"/>
      <c r="E12" s="472"/>
      <c r="F12" s="472"/>
      <c r="G12" s="469"/>
      <c r="H12" s="469"/>
      <c r="I12" s="469"/>
    </row>
    <row r="13" spans="1:9" s="1" customFormat="1" ht="15.75" hidden="1" thickBot="1">
      <c r="A13" s="474" t="s">
        <v>741</v>
      </c>
      <c r="B13" s="474" t="s">
        <v>729</v>
      </c>
      <c r="C13" s="474" t="s">
        <v>742</v>
      </c>
      <c r="D13" s="474" t="s">
        <v>731</v>
      </c>
      <c r="E13" s="474" t="s">
        <v>736</v>
      </c>
      <c r="F13" s="474" t="s">
        <v>737</v>
      </c>
      <c r="G13" s="473">
        <v>40568</v>
      </c>
      <c r="H13" s="474"/>
      <c r="I13" s="474"/>
    </row>
    <row r="14" spans="1:9" s="1" customFormat="1" ht="15.75" hidden="1" thickBot="1">
      <c r="A14" s="471"/>
      <c r="B14" s="471"/>
      <c r="C14" s="471"/>
      <c r="D14" s="471"/>
      <c r="E14" s="471"/>
      <c r="F14" s="471"/>
      <c r="G14" s="468"/>
      <c r="H14" s="471"/>
      <c r="I14" s="471"/>
    </row>
    <row r="15" spans="1:9" s="1" customFormat="1" ht="15.75" hidden="1" thickBot="1">
      <c r="A15" s="471"/>
      <c r="B15" s="471"/>
      <c r="C15" s="471"/>
      <c r="D15" s="471"/>
      <c r="E15" s="471"/>
      <c r="F15" s="471"/>
      <c r="G15" s="468"/>
      <c r="H15" s="471"/>
      <c r="I15" s="471"/>
    </row>
    <row r="16" spans="1:9" s="1" customFormat="1" ht="15.75" hidden="1" thickBot="1">
      <c r="A16" s="471"/>
      <c r="B16" s="471"/>
      <c r="C16" s="471"/>
      <c r="D16" s="471"/>
      <c r="E16" s="471"/>
      <c r="F16" s="471"/>
      <c r="G16" s="468"/>
      <c r="H16" s="471"/>
      <c r="I16" s="471"/>
    </row>
    <row r="17" spans="1:9">
      <c r="A17" s="470" t="s">
        <v>743</v>
      </c>
      <c r="B17" s="470" t="s">
        <v>729</v>
      </c>
      <c r="C17" s="470" t="s">
        <v>744</v>
      </c>
      <c r="D17" s="470" t="s">
        <v>731</v>
      </c>
      <c r="E17" s="470" t="s">
        <v>740</v>
      </c>
      <c r="F17" s="470" t="s">
        <v>737</v>
      </c>
      <c r="G17" s="467">
        <v>40564</v>
      </c>
      <c r="H17" s="467">
        <v>40959</v>
      </c>
      <c r="I17" s="467">
        <v>40959</v>
      </c>
    </row>
    <row r="18" spans="1:9" s="1" customFormat="1" ht="15.75" hidden="1" thickBot="1">
      <c r="A18" s="471"/>
      <c r="B18" s="471"/>
      <c r="C18" s="471"/>
      <c r="D18" s="471"/>
      <c r="E18" s="471"/>
      <c r="F18" s="471"/>
      <c r="G18" s="468"/>
      <c r="H18" s="468"/>
      <c r="I18" s="468"/>
    </row>
    <row r="19" spans="1:9" s="1" customFormat="1" ht="15.75" hidden="1" thickBot="1">
      <c r="A19" s="471"/>
      <c r="B19" s="471"/>
      <c r="C19" s="471"/>
      <c r="D19" s="471"/>
      <c r="E19" s="471"/>
      <c r="F19" s="471"/>
      <c r="G19" s="468"/>
      <c r="H19" s="468"/>
      <c r="I19" s="468"/>
    </row>
    <row r="20" spans="1:9" s="1" customFormat="1" ht="15.75" hidden="1" thickBot="1">
      <c r="A20" s="471"/>
      <c r="B20" s="471"/>
      <c r="C20" s="471"/>
      <c r="D20" s="471"/>
      <c r="E20" s="471"/>
      <c r="F20" s="471"/>
      <c r="G20" s="468"/>
      <c r="H20" s="468"/>
      <c r="I20" s="468"/>
    </row>
    <row r="21" spans="1:9">
      <c r="A21" s="470" t="s">
        <v>745</v>
      </c>
      <c r="B21" s="470" t="s">
        <v>729</v>
      </c>
      <c r="C21" s="470" t="s">
        <v>746</v>
      </c>
      <c r="D21" s="470" t="s">
        <v>731</v>
      </c>
      <c r="E21" s="470" t="s">
        <v>740</v>
      </c>
      <c r="F21" s="470" t="s">
        <v>733</v>
      </c>
      <c r="G21" s="467">
        <v>40574</v>
      </c>
      <c r="H21" s="470"/>
      <c r="I21" s="470"/>
    </row>
    <row r="22" spans="1:9" s="1" customFormat="1" ht="15.75" hidden="1" thickBot="1">
      <c r="A22" s="471"/>
      <c r="B22" s="471"/>
      <c r="C22" s="471"/>
      <c r="D22" s="471"/>
      <c r="E22" s="471"/>
      <c r="F22" s="471"/>
      <c r="G22" s="468"/>
      <c r="H22" s="471"/>
      <c r="I22" s="471"/>
    </row>
    <row r="23" spans="1:9" s="1" customFormat="1" ht="15.75" hidden="1" thickBot="1">
      <c r="A23" s="471"/>
      <c r="B23" s="471"/>
      <c r="C23" s="471"/>
      <c r="D23" s="471"/>
      <c r="E23" s="471"/>
      <c r="F23" s="471"/>
      <c r="G23" s="468"/>
      <c r="H23" s="471"/>
      <c r="I23" s="471"/>
    </row>
    <row r="24" spans="1:9" s="1" customFormat="1" ht="15.75" hidden="1" thickBot="1">
      <c r="A24" s="472"/>
      <c r="B24" s="472"/>
      <c r="C24" s="472"/>
      <c r="D24" s="472"/>
      <c r="E24" s="472"/>
      <c r="F24" s="472"/>
      <c r="G24" s="469"/>
      <c r="H24" s="472"/>
      <c r="I24" s="472"/>
    </row>
    <row r="25" spans="1:9" s="1" customFormat="1" ht="15.75" hidden="1" thickBot="1">
      <c r="A25" s="474" t="s">
        <v>747</v>
      </c>
      <c r="B25" s="474" t="s">
        <v>729</v>
      </c>
      <c r="C25" s="474" t="s">
        <v>748</v>
      </c>
      <c r="D25" s="474" t="s">
        <v>731</v>
      </c>
      <c r="E25" s="474" t="s">
        <v>749</v>
      </c>
      <c r="F25" s="474" t="s">
        <v>737</v>
      </c>
      <c r="G25" s="473">
        <v>40592</v>
      </c>
      <c r="H25" s="473">
        <v>40830</v>
      </c>
      <c r="I25" s="473">
        <v>40830</v>
      </c>
    </row>
    <row r="26" spans="1:9" s="1" customFormat="1" ht="15.75" hidden="1" thickBot="1">
      <c r="A26" s="471"/>
      <c r="B26" s="471"/>
      <c r="C26" s="471"/>
      <c r="D26" s="471"/>
      <c r="E26" s="471"/>
      <c r="F26" s="471"/>
      <c r="G26" s="468"/>
      <c r="H26" s="468"/>
      <c r="I26" s="468"/>
    </row>
    <row r="27" spans="1:9" s="1" customFormat="1" ht="15.75" hidden="1" thickBot="1">
      <c r="A27" s="471"/>
      <c r="B27" s="471"/>
      <c r="C27" s="471"/>
      <c r="D27" s="471"/>
      <c r="E27" s="471"/>
      <c r="F27" s="471"/>
      <c r="G27" s="468"/>
      <c r="H27" s="468"/>
      <c r="I27" s="468"/>
    </row>
    <row r="28" spans="1:9" s="1" customFormat="1" ht="15.75" hidden="1" thickBot="1">
      <c r="A28" s="472"/>
      <c r="B28" s="472"/>
      <c r="C28" s="472"/>
      <c r="D28" s="472"/>
      <c r="E28" s="472"/>
      <c r="F28" s="472"/>
      <c r="G28" s="469"/>
      <c r="H28" s="469"/>
      <c r="I28" s="469"/>
    </row>
    <row r="29" spans="1:9" s="1" customFormat="1" ht="15.75" hidden="1" thickBot="1">
      <c r="A29" s="474" t="s">
        <v>750</v>
      </c>
      <c r="B29" s="474" t="s">
        <v>729</v>
      </c>
      <c r="C29" s="474" t="s">
        <v>751</v>
      </c>
      <c r="D29" s="474" t="s">
        <v>731</v>
      </c>
      <c r="E29" s="474" t="s">
        <v>732</v>
      </c>
      <c r="F29" s="474" t="s">
        <v>737</v>
      </c>
      <c r="G29" s="473">
        <v>40584</v>
      </c>
      <c r="H29" s="473">
        <v>40764</v>
      </c>
      <c r="I29" s="473">
        <v>40764</v>
      </c>
    </row>
    <row r="30" spans="1:9" s="1" customFormat="1" ht="15.75" hidden="1" thickBot="1">
      <c r="A30" s="471"/>
      <c r="B30" s="471"/>
      <c r="C30" s="471"/>
      <c r="D30" s="471"/>
      <c r="E30" s="471"/>
      <c r="F30" s="471"/>
      <c r="G30" s="468"/>
      <c r="H30" s="468"/>
      <c r="I30" s="468"/>
    </row>
    <row r="31" spans="1:9" s="1" customFormat="1" ht="15.75" hidden="1" thickBot="1">
      <c r="A31" s="471"/>
      <c r="B31" s="471"/>
      <c r="C31" s="471"/>
      <c r="D31" s="471"/>
      <c r="E31" s="471"/>
      <c r="F31" s="471"/>
      <c r="G31" s="468"/>
      <c r="H31" s="468"/>
      <c r="I31" s="468"/>
    </row>
    <row r="32" spans="1:9" s="1" customFormat="1" ht="15.75" hidden="1" thickBot="1">
      <c r="A32" s="471"/>
      <c r="B32" s="471"/>
      <c r="C32" s="471"/>
      <c r="D32" s="471"/>
      <c r="E32" s="471"/>
      <c r="F32" s="471"/>
      <c r="G32" s="468"/>
      <c r="H32" s="468"/>
      <c r="I32" s="468"/>
    </row>
    <row r="33" spans="1:9">
      <c r="A33" s="470" t="s">
        <v>752</v>
      </c>
      <c r="B33" s="470" t="s">
        <v>729</v>
      </c>
      <c r="C33" s="470" t="s">
        <v>753</v>
      </c>
      <c r="D33" s="470" t="s">
        <v>731</v>
      </c>
      <c r="E33" s="470" t="s">
        <v>740</v>
      </c>
      <c r="F33" s="470" t="s">
        <v>737</v>
      </c>
      <c r="G33" s="467">
        <v>40632</v>
      </c>
      <c r="H33" s="467">
        <v>40749</v>
      </c>
      <c r="I33" s="467">
        <v>40749</v>
      </c>
    </row>
    <row r="34" spans="1:9" s="1" customFormat="1" ht="15.75" hidden="1" thickBot="1">
      <c r="A34" s="471"/>
      <c r="B34" s="471"/>
      <c r="C34" s="471"/>
      <c r="D34" s="471"/>
      <c r="E34" s="471"/>
      <c r="F34" s="471"/>
      <c r="G34" s="468"/>
      <c r="H34" s="468"/>
      <c r="I34" s="468"/>
    </row>
    <row r="35" spans="1:9" s="1" customFormat="1" ht="15.75" hidden="1" thickBot="1">
      <c r="A35" s="471"/>
      <c r="B35" s="471"/>
      <c r="C35" s="471"/>
      <c r="D35" s="471"/>
      <c r="E35" s="471"/>
      <c r="F35" s="471"/>
      <c r="G35" s="468"/>
      <c r="H35" s="468"/>
      <c r="I35" s="468"/>
    </row>
    <row r="36" spans="1:9" s="1" customFormat="1" ht="15.75" hidden="1" thickBot="1">
      <c r="A36" s="471"/>
      <c r="B36" s="471"/>
      <c r="C36" s="471"/>
      <c r="D36" s="471"/>
      <c r="E36" s="471"/>
      <c r="F36" s="471"/>
      <c r="G36" s="468"/>
      <c r="H36" s="468"/>
      <c r="I36" s="468"/>
    </row>
    <row r="37" spans="1:9">
      <c r="A37" s="470" t="s">
        <v>754</v>
      </c>
      <c r="B37" s="470" t="s">
        <v>729</v>
      </c>
      <c r="C37" s="470" t="s">
        <v>755</v>
      </c>
      <c r="D37" s="470" t="s">
        <v>731</v>
      </c>
      <c r="E37" s="470" t="s">
        <v>756</v>
      </c>
      <c r="F37" s="470" t="s">
        <v>737</v>
      </c>
      <c r="G37" s="467">
        <v>40599</v>
      </c>
      <c r="H37" s="467">
        <v>40967</v>
      </c>
      <c r="I37" s="467">
        <v>40967</v>
      </c>
    </row>
    <row r="38" spans="1:9" s="1" customFormat="1" ht="15.75" hidden="1" thickBot="1">
      <c r="A38" s="471"/>
      <c r="B38" s="471"/>
      <c r="C38" s="471"/>
      <c r="D38" s="471"/>
      <c r="E38" s="471"/>
      <c r="F38" s="471"/>
      <c r="G38" s="468"/>
      <c r="H38" s="468"/>
      <c r="I38" s="468"/>
    </row>
    <row r="39" spans="1:9" s="1" customFormat="1" ht="15.75" hidden="1" thickBot="1">
      <c r="A39" s="471"/>
      <c r="B39" s="471"/>
      <c r="C39" s="471"/>
      <c r="D39" s="471"/>
      <c r="E39" s="471"/>
      <c r="F39" s="471"/>
      <c r="G39" s="468"/>
      <c r="H39" s="468"/>
      <c r="I39" s="468"/>
    </row>
    <row r="40" spans="1:9" s="1" customFormat="1" ht="15.75" hidden="1" thickBot="1">
      <c r="A40" s="471"/>
      <c r="B40" s="471"/>
      <c r="C40" s="471"/>
      <c r="D40" s="471"/>
      <c r="E40" s="471"/>
      <c r="F40" s="471"/>
      <c r="G40" s="468"/>
      <c r="H40" s="468"/>
      <c r="I40" s="468"/>
    </row>
    <row r="41" spans="1:9">
      <c r="A41" s="470" t="s">
        <v>757</v>
      </c>
      <c r="B41" s="470" t="s">
        <v>729</v>
      </c>
      <c r="C41" s="470" t="s">
        <v>3</v>
      </c>
      <c r="D41" s="470" t="s">
        <v>731</v>
      </c>
      <c r="E41" s="470" t="s">
        <v>740</v>
      </c>
      <c r="F41" s="470" t="s">
        <v>733</v>
      </c>
      <c r="G41" s="467">
        <v>40606</v>
      </c>
      <c r="H41" s="470"/>
      <c r="I41" s="470"/>
    </row>
    <row r="42" spans="1:9" s="1" customFormat="1" ht="15.75" hidden="1" thickBot="1">
      <c r="A42" s="471"/>
      <c r="B42" s="471"/>
      <c r="C42" s="471"/>
      <c r="D42" s="471"/>
      <c r="E42" s="471"/>
      <c r="F42" s="471"/>
      <c r="G42" s="468"/>
      <c r="H42" s="471"/>
      <c r="I42" s="471"/>
    </row>
    <row r="43" spans="1:9" s="1" customFormat="1" ht="15.75" hidden="1" thickBot="1">
      <c r="A43" s="471"/>
      <c r="B43" s="471"/>
      <c r="C43" s="471"/>
      <c r="D43" s="471"/>
      <c r="E43" s="471"/>
      <c r="F43" s="471"/>
      <c r="G43" s="468"/>
      <c r="H43" s="471"/>
      <c r="I43" s="471"/>
    </row>
    <row r="44" spans="1:9" s="1" customFormat="1" ht="15.75" hidden="1" thickBot="1">
      <c r="A44" s="471"/>
      <c r="B44" s="471"/>
      <c r="C44" s="471"/>
      <c r="D44" s="471"/>
      <c r="E44" s="471"/>
      <c r="F44" s="471"/>
      <c r="G44" s="468"/>
      <c r="H44" s="471"/>
      <c r="I44" s="471"/>
    </row>
    <row r="45" spans="1:9">
      <c r="A45" s="470" t="s">
        <v>758</v>
      </c>
      <c r="B45" s="470" t="s">
        <v>729</v>
      </c>
      <c r="C45" s="470" t="s">
        <v>759</v>
      </c>
      <c r="D45" s="470" t="s">
        <v>731</v>
      </c>
      <c r="E45" s="470" t="s">
        <v>740</v>
      </c>
      <c r="F45" s="470" t="s">
        <v>733</v>
      </c>
      <c r="G45" s="467">
        <v>40609</v>
      </c>
      <c r="H45" s="470"/>
      <c r="I45" s="470"/>
    </row>
    <row r="46" spans="1:9" s="1" customFormat="1" ht="15.75" hidden="1" thickBot="1">
      <c r="A46" s="471"/>
      <c r="B46" s="471"/>
      <c r="C46" s="471"/>
      <c r="D46" s="471"/>
      <c r="E46" s="471"/>
      <c r="F46" s="471"/>
      <c r="G46" s="468"/>
      <c r="H46" s="471"/>
      <c r="I46" s="471"/>
    </row>
    <row r="47" spans="1:9" s="1" customFormat="1" ht="15.75" hidden="1" thickBot="1">
      <c r="A47" s="471"/>
      <c r="B47" s="471"/>
      <c r="C47" s="471"/>
      <c r="D47" s="471"/>
      <c r="E47" s="471"/>
      <c r="F47" s="471"/>
      <c r="G47" s="468"/>
      <c r="H47" s="471"/>
      <c r="I47" s="471"/>
    </row>
    <row r="48" spans="1:9" s="1" customFormat="1" ht="15.75" hidden="1" thickBot="1">
      <c r="A48" s="472"/>
      <c r="B48" s="472"/>
      <c r="C48" s="472"/>
      <c r="D48" s="472"/>
      <c r="E48" s="472"/>
      <c r="F48" s="472"/>
      <c r="G48" s="469"/>
      <c r="H48" s="472"/>
      <c r="I48" s="472"/>
    </row>
    <row r="49" spans="1:9" s="1" customFormat="1" ht="15.75" hidden="1" thickBot="1">
      <c r="A49" s="474" t="s">
        <v>760</v>
      </c>
      <c r="B49" s="474" t="s">
        <v>729</v>
      </c>
      <c r="C49" s="474" t="s">
        <v>761</v>
      </c>
      <c r="D49" s="474" t="s">
        <v>731</v>
      </c>
      <c r="E49" s="474" t="s">
        <v>762</v>
      </c>
      <c r="F49" s="474" t="s">
        <v>737</v>
      </c>
      <c r="G49" s="473">
        <v>40609</v>
      </c>
      <c r="H49" s="473">
        <v>40840</v>
      </c>
      <c r="I49" s="473">
        <v>40840</v>
      </c>
    </row>
    <row r="50" spans="1:9" s="1" customFormat="1" ht="15.75" hidden="1" thickBot="1">
      <c r="A50" s="471"/>
      <c r="B50" s="471"/>
      <c r="C50" s="471"/>
      <c r="D50" s="471"/>
      <c r="E50" s="471"/>
      <c r="F50" s="471"/>
      <c r="G50" s="468"/>
      <c r="H50" s="468"/>
      <c r="I50" s="468"/>
    </row>
    <row r="51" spans="1:9" s="1" customFormat="1" ht="15.75" hidden="1" thickBot="1">
      <c r="A51" s="471"/>
      <c r="B51" s="471"/>
      <c r="C51" s="471"/>
      <c r="D51" s="471"/>
      <c r="E51" s="471"/>
      <c r="F51" s="471"/>
      <c r="G51" s="468"/>
      <c r="H51" s="468"/>
      <c r="I51" s="468"/>
    </row>
    <row r="52" spans="1:9" s="1" customFormat="1" ht="15.75" hidden="1" thickBot="1">
      <c r="A52" s="472"/>
      <c r="B52" s="472"/>
      <c r="C52" s="472"/>
      <c r="D52" s="472"/>
      <c r="E52" s="472"/>
      <c r="F52" s="472"/>
      <c r="G52" s="469"/>
      <c r="H52" s="469"/>
      <c r="I52" s="469"/>
    </row>
    <row r="53" spans="1:9" s="1" customFormat="1" ht="15.75" hidden="1" thickBot="1">
      <c r="A53" s="474" t="s">
        <v>763</v>
      </c>
      <c r="B53" s="474" t="s">
        <v>729</v>
      </c>
      <c r="C53" s="474" t="s">
        <v>761</v>
      </c>
      <c r="D53" s="474" t="s">
        <v>731</v>
      </c>
      <c r="E53" s="474" t="s">
        <v>762</v>
      </c>
      <c r="F53" s="474" t="s">
        <v>737</v>
      </c>
      <c r="G53" s="473">
        <v>40616</v>
      </c>
      <c r="H53" s="473">
        <v>40898</v>
      </c>
      <c r="I53" s="473">
        <v>40898</v>
      </c>
    </row>
    <row r="54" spans="1:9" s="1" customFormat="1" ht="15.75" hidden="1" thickBot="1">
      <c r="A54" s="471"/>
      <c r="B54" s="471"/>
      <c r="C54" s="471"/>
      <c r="D54" s="471"/>
      <c r="E54" s="471"/>
      <c r="F54" s="471"/>
      <c r="G54" s="468"/>
      <c r="H54" s="468"/>
      <c r="I54" s="468"/>
    </row>
    <row r="55" spans="1:9" s="1" customFormat="1" ht="15.75" hidden="1" thickBot="1">
      <c r="A55" s="471"/>
      <c r="B55" s="471"/>
      <c r="C55" s="471"/>
      <c r="D55" s="471"/>
      <c r="E55" s="471"/>
      <c r="F55" s="471"/>
      <c r="G55" s="468"/>
      <c r="H55" s="468"/>
      <c r="I55" s="468"/>
    </row>
    <row r="56" spans="1:9" s="1" customFormat="1" ht="15.75" hidden="1" thickBot="1">
      <c r="A56" s="472"/>
      <c r="B56" s="472"/>
      <c r="C56" s="472"/>
      <c r="D56" s="472"/>
      <c r="E56" s="472"/>
      <c r="F56" s="472"/>
      <c r="G56" s="469"/>
      <c r="H56" s="469"/>
      <c r="I56" s="469"/>
    </row>
    <row r="57" spans="1:9" s="1" customFormat="1" ht="15.75" hidden="1" thickBot="1">
      <c r="A57" s="474" t="s">
        <v>764</v>
      </c>
      <c r="B57" s="474" t="s">
        <v>729</v>
      </c>
      <c r="C57" s="474" t="s">
        <v>765</v>
      </c>
      <c r="D57" s="474" t="s">
        <v>731</v>
      </c>
      <c r="E57" s="474" t="s">
        <v>736</v>
      </c>
      <c r="F57" s="474" t="s">
        <v>737</v>
      </c>
      <c r="G57" s="473">
        <v>40619</v>
      </c>
      <c r="H57" s="473">
        <v>40886</v>
      </c>
      <c r="I57" s="473">
        <v>40886</v>
      </c>
    </row>
    <row r="58" spans="1:9" s="1" customFormat="1" ht="15.75" hidden="1" thickBot="1">
      <c r="A58" s="471"/>
      <c r="B58" s="471"/>
      <c r="C58" s="471"/>
      <c r="D58" s="471"/>
      <c r="E58" s="471"/>
      <c r="F58" s="471"/>
      <c r="G58" s="468"/>
      <c r="H58" s="468"/>
      <c r="I58" s="468"/>
    </row>
    <row r="59" spans="1:9" s="1" customFormat="1" ht="15.75" hidden="1" thickBot="1">
      <c r="A59" s="471"/>
      <c r="B59" s="471"/>
      <c r="C59" s="471"/>
      <c r="D59" s="471"/>
      <c r="E59" s="471"/>
      <c r="F59" s="471"/>
      <c r="G59" s="468"/>
      <c r="H59" s="468"/>
      <c r="I59" s="468"/>
    </row>
    <row r="60" spans="1:9" s="1" customFormat="1" ht="15.75" hidden="1" thickBot="1">
      <c r="A60" s="472"/>
      <c r="B60" s="472"/>
      <c r="C60" s="472"/>
      <c r="D60" s="472"/>
      <c r="E60" s="472"/>
      <c r="F60" s="472"/>
      <c r="G60" s="469"/>
      <c r="H60" s="469"/>
      <c r="I60" s="469"/>
    </row>
    <row r="61" spans="1:9" s="1" customFormat="1" ht="15.75" hidden="1" thickBot="1">
      <c r="A61" s="474" t="s">
        <v>766</v>
      </c>
      <c r="B61" s="474" t="s">
        <v>729</v>
      </c>
      <c r="C61" s="474" t="s">
        <v>767</v>
      </c>
      <c r="D61" s="474" t="s">
        <v>731</v>
      </c>
      <c r="E61" s="474" t="s">
        <v>749</v>
      </c>
      <c r="F61" s="474" t="s">
        <v>737</v>
      </c>
      <c r="G61" s="473">
        <v>40625</v>
      </c>
      <c r="H61" s="473">
        <v>40721</v>
      </c>
      <c r="I61" s="473">
        <v>40721</v>
      </c>
    </row>
    <row r="62" spans="1:9" s="1" customFormat="1" ht="15.75" hidden="1" thickBot="1">
      <c r="A62" s="471"/>
      <c r="B62" s="471"/>
      <c r="C62" s="471"/>
      <c r="D62" s="471"/>
      <c r="E62" s="471"/>
      <c r="F62" s="471"/>
      <c r="G62" s="468"/>
      <c r="H62" s="468"/>
      <c r="I62" s="468"/>
    </row>
    <row r="63" spans="1:9" s="1" customFormat="1" ht="15.75" hidden="1" thickBot="1">
      <c r="A63" s="471"/>
      <c r="B63" s="471"/>
      <c r="C63" s="471"/>
      <c r="D63" s="471"/>
      <c r="E63" s="471"/>
      <c r="F63" s="471"/>
      <c r="G63" s="468"/>
      <c r="H63" s="468"/>
      <c r="I63" s="468"/>
    </row>
    <row r="64" spans="1:9" s="1" customFormat="1" ht="15.75" hidden="1" thickBot="1">
      <c r="A64" s="472"/>
      <c r="B64" s="472"/>
      <c r="C64" s="472"/>
      <c r="D64" s="472"/>
      <c r="E64" s="472"/>
      <c r="F64" s="472"/>
      <c r="G64" s="469"/>
      <c r="H64" s="469"/>
      <c r="I64" s="469"/>
    </row>
    <row r="65" spans="1:9" s="1" customFormat="1" ht="15.75" hidden="1" thickBot="1">
      <c r="A65" s="474" t="s">
        <v>768</v>
      </c>
      <c r="B65" s="474" t="s">
        <v>729</v>
      </c>
      <c r="C65" s="474" t="s">
        <v>769</v>
      </c>
      <c r="D65" s="474" t="s">
        <v>731</v>
      </c>
      <c r="E65" s="474" t="s">
        <v>749</v>
      </c>
      <c r="F65" s="474" t="s">
        <v>737</v>
      </c>
      <c r="G65" s="473">
        <v>40620</v>
      </c>
      <c r="H65" s="473">
        <v>40746</v>
      </c>
      <c r="I65" s="473">
        <v>40746</v>
      </c>
    </row>
    <row r="66" spans="1:9" s="1" customFormat="1" ht="15.75" hidden="1" thickBot="1">
      <c r="A66" s="471"/>
      <c r="B66" s="471"/>
      <c r="C66" s="471"/>
      <c r="D66" s="471"/>
      <c r="E66" s="471"/>
      <c r="F66" s="471"/>
      <c r="G66" s="468"/>
      <c r="H66" s="468"/>
      <c r="I66" s="468"/>
    </row>
    <row r="67" spans="1:9" s="1" customFormat="1" ht="15.75" hidden="1" thickBot="1">
      <c r="A67" s="471"/>
      <c r="B67" s="471"/>
      <c r="C67" s="471"/>
      <c r="D67" s="471"/>
      <c r="E67" s="471"/>
      <c r="F67" s="471"/>
      <c r="G67" s="468"/>
      <c r="H67" s="468"/>
      <c r="I67" s="468"/>
    </row>
    <row r="68" spans="1:9" s="1" customFormat="1" ht="15.75" hidden="1" thickBot="1">
      <c r="A68" s="472"/>
      <c r="B68" s="472"/>
      <c r="C68" s="472"/>
      <c r="D68" s="472"/>
      <c r="E68" s="472"/>
      <c r="F68" s="472"/>
      <c r="G68" s="469"/>
      <c r="H68" s="469"/>
      <c r="I68" s="469"/>
    </row>
    <row r="69" spans="1:9" s="1" customFormat="1" ht="15.75" hidden="1" thickBot="1">
      <c r="A69" s="474" t="s">
        <v>770</v>
      </c>
      <c r="B69" s="474" t="s">
        <v>729</v>
      </c>
      <c r="C69" s="474" t="s">
        <v>539</v>
      </c>
      <c r="D69" s="474" t="s">
        <v>731</v>
      </c>
      <c r="E69" s="474" t="s">
        <v>762</v>
      </c>
      <c r="F69" s="474" t="s">
        <v>737</v>
      </c>
      <c r="G69" s="473">
        <v>40627</v>
      </c>
      <c r="H69" s="473">
        <v>41067</v>
      </c>
      <c r="I69" s="473">
        <v>41067</v>
      </c>
    </row>
    <row r="70" spans="1:9" s="1" customFormat="1" ht="15.75" hidden="1" thickBot="1">
      <c r="A70" s="471"/>
      <c r="B70" s="471"/>
      <c r="C70" s="471"/>
      <c r="D70" s="471"/>
      <c r="E70" s="471"/>
      <c r="F70" s="471"/>
      <c r="G70" s="468"/>
      <c r="H70" s="468"/>
      <c r="I70" s="468"/>
    </row>
    <row r="71" spans="1:9" s="1" customFormat="1" ht="15.75" hidden="1" thickBot="1">
      <c r="A71" s="471"/>
      <c r="B71" s="471"/>
      <c r="C71" s="471"/>
      <c r="D71" s="471"/>
      <c r="E71" s="471"/>
      <c r="F71" s="471"/>
      <c r="G71" s="468"/>
      <c r="H71" s="468"/>
      <c r="I71" s="468"/>
    </row>
    <row r="72" spans="1:9" s="1" customFormat="1" ht="15.75" hidden="1" thickBot="1">
      <c r="A72" s="471"/>
      <c r="B72" s="471"/>
      <c r="C72" s="471"/>
      <c r="D72" s="471"/>
      <c r="E72" s="471"/>
      <c r="F72" s="471"/>
      <c r="G72" s="468"/>
      <c r="H72" s="468"/>
      <c r="I72" s="468"/>
    </row>
    <row r="73" spans="1:9">
      <c r="A73" s="470" t="s">
        <v>771</v>
      </c>
      <c r="B73" s="470" t="s">
        <v>729</v>
      </c>
      <c r="C73" s="470" t="s">
        <v>772</v>
      </c>
      <c r="D73" s="470" t="s">
        <v>731</v>
      </c>
      <c r="E73" s="470" t="s">
        <v>740</v>
      </c>
      <c r="F73" s="470" t="s">
        <v>773</v>
      </c>
      <c r="G73" s="467">
        <v>40631</v>
      </c>
      <c r="H73" s="470"/>
      <c r="I73" s="470"/>
    </row>
    <row r="74" spans="1:9" s="1" customFormat="1" ht="15.75" hidden="1" thickBot="1">
      <c r="A74" s="471"/>
      <c r="B74" s="471"/>
      <c r="C74" s="471"/>
      <c r="D74" s="471"/>
      <c r="E74" s="471"/>
      <c r="F74" s="471"/>
      <c r="G74" s="468"/>
      <c r="H74" s="471"/>
      <c r="I74" s="471"/>
    </row>
    <row r="75" spans="1:9" s="1" customFormat="1" ht="15.75" hidden="1" thickBot="1">
      <c r="A75" s="471"/>
      <c r="B75" s="471"/>
      <c r="C75" s="471"/>
      <c r="D75" s="471"/>
      <c r="E75" s="471"/>
      <c r="F75" s="471"/>
      <c r="G75" s="468"/>
      <c r="H75" s="471"/>
      <c r="I75" s="471"/>
    </row>
    <row r="76" spans="1:9" s="1" customFormat="1" ht="15.75" hidden="1" thickBot="1">
      <c r="A76" s="471"/>
      <c r="B76" s="471"/>
      <c r="C76" s="471"/>
      <c r="D76" s="471"/>
      <c r="E76" s="471"/>
      <c r="F76" s="471"/>
      <c r="G76" s="468"/>
      <c r="H76" s="471"/>
      <c r="I76" s="471"/>
    </row>
    <row r="77" spans="1:9">
      <c r="A77" s="470" t="s">
        <v>774</v>
      </c>
      <c r="B77" s="470" t="s">
        <v>729</v>
      </c>
      <c r="C77" s="470" t="s">
        <v>775</v>
      </c>
      <c r="D77" s="470" t="s">
        <v>731</v>
      </c>
      <c r="E77" s="470" t="s">
        <v>756</v>
      </c>
      <c r="F77" s="470" t="s">
        <v>737</v>
      </c>
      <c r="G77" s="467">
        <v>40632</v>
      </c>
      <c r="H77" s="467">
        <v>40779</v>
      </c>
      <c r="I77" s="467">
        <v>40779</v>
      </c>
    </row>
    <row r="78" spans="1:9" s="1" customFormat="1" ht="15.75" hidden="1" thickBot="1">
      <c r="A78" s="471"/>
      <c r="B78" s="471"/>
      <c r="C78" s="471"/>
      <c r="D78" s="471"/>
      <c r="E78" s="471"/>
      <c r="F78" s="471"/>
      <c r="G78" s="468"/>
      <c r="H78" s="468"/>
      <c r="I78" s="468"/>
    </row>
    <row r="79" spans="1:9" s="1" customFormat="1" ht="15.75" hidden="1" thickBot="1">
      <c r="A79" s="471"/>
      <c r="B79" s="471"/>
      <c r="C79" s="471"/>
      <c r="D79" s="471"/>
      <c r="E79" s="471"/>
      <c r="F79" s="471"/>
      <c r="G79" s="468"/>
      <c r="H79" s="468"/>
      <c r="I79" s="468"/>
    </row>
    <row r="80" spans="1:9" s="1" customFormat="1" ht="15.75" hidden="1" thickBot="1">
      <c r="A80" s="471"/>
      <c r="B80" s="471"/>
      <c r="C80" s="471"/>
      <c r="D80" s="471"/>
      <c r="E80" s="471"/>
      <c r="F80" s="471"/>
      <c r="G80" s="468"/>
      <c r="H80" s="468"/>
      <c r="I80" s="468"/>
    </row>
    <row r="81" spans="1:9">
      <c r="A81" s="470" t="s">
        <v>776</v>
      </c>
      <c r="B81" s="470" t="s">
        <v>729</v>
      </c>
      <c r="C81" s="470" t="s">
        <v>777</v>
      </c>
      <c r="D81" s="470" t="s">
        <v>731</v>
      </c>
      <c r="E81" s="470" t="s">
        <v>740</v>
      </c>
      <c r="F81" s="470" t="s">
        <v>737</v>
      </c>
      <c r="G81" s="467">
        <v>40647</v>
      </c>
      <c r="H81" s="467">
        <v>40725</v>
      </c>
      <c r="I81" s="467">
        <v>40725</v>
      </c>
    </row>
    <row r="82" spans="1:9" s="1" customFormat="1" ht="15.75" hidden="1" thickBot="1">
      <c r="A82" s="471"/>
      <c r="B82" s="471"/>
      <c r="C82" s="471"/>
      <c r="D82" s="471"/>
      <c r="E82" s="471"/>
      <c r="F82" s="471"/>
      <c r="G82" s="468"/>
      <c r="H82" s="468"/>
      <c r="I82" s="468"/>
    </row>
    <row r="83" spans="1:9" s="1" customFormat="1" ht="15.75" hidden="1" thickBot="1">
      <c r="A83" s="471"/>
      <c r="B83" s="471"/>
      <c r="C83" s="471"/>
      <c r="D83" s="471"/>
      <c r="E83" s="471"/>
      <c r="F83" s="471"/>
      <c r="G83" s="468"/>
      <c r="H83" s="468"/>
      <c r="I83" s="468"/>
    </row>
    <row r="84" spans="1:9" s="1" customFormat="1" ht="15.75" hidden="1" thickBot="1">
      <c r="A84" s="471"/>
      <c r="B84" s="471"/>
      <c r="C84" s="471"/>
      <c r="D84" s="471"/>
      <c r="E84" s="471"/>
      <c r="F84" s="471"/>
      <c r="G84" s="468"/>
      <c r="H84" s="468"/>
      <c r="I84" s="468"/>
    </row>
    <row r="85" spans="1:9">
      <c r="A85" s="470" t="s">
        <v>778</v>
      </c>
      <c r="B85" s="470" t="s">
        <v>729</v>
      </c>
      <c r="C85" s="470" t="s">
        <v>779</v>
      </c>
      <c r="D85" s="470" t="s">
        <v>731</v>
      </c>
      <c r="E85" s="470" t="s">
        <v>740</v>
      </c>
      <c r="F85" s="470" t="s">
        <v>737</v>
      </c>
      <c r="G85" s="467">
        <v>40661</v>
      </c>
      <c r="H85" s="467">
        <v>40809</v>
      </c>
      <c r="I85" s="467">
        <v>40809</v>
      </c>
    </row>
    <row r="86" spans="1:9" s="1" customFormat="1" ht="15.75" hidden="1" thickBot="1">
      <c r="A86" s="471"/>
      <c r="B86" s="471"/>
      <c r="C86" s="471"/>
      <c r="D86" s="471"/>
      <c r="E86" s="471"/>
      <c r="F86" s="471"/>
      <c r="G86" s="468"/>
      <c r="H86" s="468"/>
      <c r="I86" s="468"/>
    </row>
    <row r="87" spans="1:9" s="1" customFormat="1" ht="15.75" hidden="1" thickBot="1">
      <c r="A87" s="471"/>
      <c r="B87" s="471"/>
      <c r="C87" s="471"/>
      <c r="D87" s="471"/>
      <c r="E87" s="471"/>
      <c r="F87" s="471"/>
      <c r="G87" s="468"/>
      <c r="H87" s="468"/>
      <c r="I87" s="468"/>
    </row>
    <row r="88" spans="1:9" s="1" customFormat="1" ht="15.75" hidden="1" thickBot="1">
      <c r="A88" s="471"/>
      <c r="B88" s="471"/>
      <c r="C88" s="471"/>
      <c r="D88" s="471"/>
      <c r="E88" s="471"/>
      <c r="F88" s="471"/>
      <c r="G88" s="468"/>
      <c r="H88" s="468"/>
      <c r="I88" s="468"/>
    </row>
    <row r="89" spans="1:9">
      <c r="A89" s="470" t="s">
        <v>780</v>
      </c>
      <c r="B89" s="470" t="s">
        <v>729</v>
      </c>
      <c r="C89" s="470" t="s">
        <v>744</v>
      </c>
      <c r="D89" s="470" t="s">
        <v>731</v>
      </c>
      <c r="E89" s="470" t="s">
        <v>393</v>
      </c>
      <c r="F89" s="470" t="s">
        <v>737</v>
      </c>
      <c r="G89" s="467">
        <v>40672</v>
      </c>
      <c r="H89" s="467">
        <v>40925</v>
      </c>
      <c r="I89" s="467">
        <v>40925</v>
      </c>
    </row>
    <row r="90" spans="1:9" s="1" customFormat="1" ht="15.75" hidden="1" thickBot="1">
      <c r="A90" s="471"/>
      <c r="B90" s="471"/>
      <c r="C90" s="471"/>
      <c r="D90" s="471"/>
      <c r="E90" s="471"/>
      <c r="F90" s="471"/>
      <c r="G90" s="468"/>
      <c r="H90" s="468"/>
      <c r="I90" s="468"/>
    </row>
    <row r="91" spans="1:9" s="1" customFormat="1" ht="15.75" hidden="1" thickBot="1">
      <c r="A91" s="471"/>
      <c r="B91" s="471"/>
      <c r="C91" s="471"/>
      <c r="D91" s="471"/>
      <c r="E91" s="471"/>
      <c r="F91" s="471"/>
      <c r="G91" s="468"/>
      <c r="H91" s="468"/>
      <c r="I91" s="468"/>
    </row>
    <row r="92" spans="1:9" s="1" customFormat="1" ht="15.75" hidden="1" thickBot="1">
      <c r="A92" s="471"/>
      <c r="B92" s="471"/>
      <c r="C92" s="471"/>
      <c r="D92" s="471"/>
      <c r="E92" s="471"/>
      <c r="F92" s="471"/>
      <c r="G92" s="468"/>
      <c r="H92" s="468"/>
      <c r="I92" s="468"/>
    </row>
    <row r="93" spans="1:9">
      <c r="A93" s="470" t="s">
        <v>781</v>
      </c>
      <c r="B93" s="470" t="s">
        <v>729</v>
      </c>
      <c r="C93" s="470" t="s">
        <v>782</v>
      </c>
      <c r="D93" s="470" t="s">
        <v>731</v>
      </c>
      <c r="E93" s="470" t="s">
        <v>756</v>
      </c>
      <c r="F93" s="470" t="s">
        <v>737</v>
      </c>
      <c r="G93" s="467">
        <v>40681</v>
      </c>
      <c r="H93" s="467">
        <v>40823</v>
      </c>
      <c r="I93" s="467">
        <v>40823</v>
      </c>
    </row>
    <row r="94" spans="1:9" s="1" customFormat="1" ht="15.75" hidden="1" thickBot="1">
      <c r="A94" s="471"/>
      <c r="B94" s="471"/>
      <c r="C94" s="471"/>
      <c r="D94" s="471"/>
      <c r="E94" s="471"/>
      <c r="F94" s="471"/>
      <c r="G94" s="468"/>
      <c r="H94" s="468"/>
      <c r="I94" s="468"/>
    </row>
    <row r="95" spans="1:9" s="1" customFormat="1" ht="15.75" hidden="1" thickBot="1">
      <c r="A95" s="471"/>
      <c r="B95" s="471"/>
      <c r="C95" s="471"/>
      <c r="D95" s="471"/>
      <c r="E95" s="471"/>
      <c r="F95" s="471"/>
      <c r="G95" s="468"/>
      <c r="H95" s="468"/>
      <c r="I95" s="468"/>
    </row>
    <row r="96" spans="1:9" s="1" customFormat="1" ht="15.75" hidden="1" thickBot="1">
      <c r="A96" s="471"/>
      <c r="B96" s="471"/>
      <c r="C96" s="471"/>
      <c r="D96" s="471"/>
      <c r="E96" s="471"/>
      <c r="F96" s="471"/>
      <c r="G96" s="468"/>
      <c r="H96" s="468"/>
      <c r="I96" s="468"/>
    </row>
    <row r="97" spans="1:9">
      <c r="A97" s="470" t="s">
        <v>783</v>
      </c>
      <c r="B97" s="470" t="s">
        <v>729</v>
      </c>
      <c r="C97" s="470" t="s">
        <v>784</v>
      </c>
      <c r="D97" s="470" t="s">
        <v>731</v>
      </c>
      <c r="E97" s="470" t="s">
        <v>740</v>
      </c>
      <c r="F97" s="470" t="s">
        <v>737</v>
      </c>
      <c r="G97" s="467">
        <v>40688</v>
      </c>
      <c r="H97" s="467">
        <v>40770</v>
      </c>
      <c r="I97" s="467">
        <v>40770</v>
      </c>
    </row>
    <row r="98" spans="1:9" s="1" customFormat="1" ht="15.75" hidden="1" thickBot="1">
      <c r="A98" s="471"/>
      <c r="B98" s="471"/>
      <c r="C98" s="471"/>
      <c r="D98" s="471"/>
      <c r="E98" s="471"/>
      <c r="F98" s="471"/>
      <c r="G98" s="468"/>
      <c r="H98" s="468"/>
      <c r="I98" s="468"/>
    </row>
    <row r="99" spans="1:9" s="1" customFormat="1" ht="15.75" hidden="1" thickBot="1">
      <c r="A99" s="471"/>
      <c r="B99" s="471"/>
      <c r="C99" s="471"/>
      <c r="D99" s="471"/>
      <c r="E99" s="471"/>
      <c r="F99" s="471"/>
      <c r="G99" s="468"/>
      <c r="H99" s="468"/>
      <c r="I99" s="468"/>
    </row>
    <row r="100" spans="1:9" s="1" customFormat="1" ht="15.75" hidden="1" thickBot="1">
      <c r="A100" s="472"/>
      <c r="B100" s="472"/>
      <c r="C100" s="472"/>
      <c r="D100" s="472"/>
      <c r="E100" s="472"/>
      <c r="F100" s="472"/>
      <c r="G100" s="469"/>
      <c r="H100" s="469"/>
      <c r="I100" s="469"/>
    </row>
    <row r="101" spans="1:9" s="1" customFormat="1" ht="15.75" hidden="1" thickBot="1">
      <c r="A101" s="474" t="s">
        <v>785</v>
      </c>
      <c r="B101" s="474" t="s">
        <v>729</v>
      </c>
      <c r="C101" s="474" t="s">
        <v>786</v>
      </c>
      <c r="D101" s="474" t="s">
        <v>731</v>
      </c>
      <c r="E101" s="474" t="s">
        <v>749</v>
      </c>
      <c r="F101" s="474" t="s">
        <v>737</v>
      </c>
      <c r="G101" s="473">
        <v>40694</v>
      </c>
      <c r="H101" s="473">
        <v>40799</v>
      </c>
      <c r="I101" s="473">
        <v>40799</v>
      </c>
    </row>
    <row r="102" spans="1:9" s="1" customFormat="1" ht="15.75" hidden="1" thickBot="1">
      <c r="A102" s="471"/>
      <c r="B102" s="471"/>
      <c r="C102" s="471"/>
      <c r="D102" s="471"/>
      <c r="E102" s="471"/>
      <c r="F102" s="471"/>
      <c r="G102" s="468"/>
      <c r="H102" s="468"/>
      <c r="I102" s="468"/>
    </row>
    <row r="103" spans="1:9" s="1" customFormat="1" ht="15.75" hidden="1" thickBot="1">
      <c r="A103" s="471"/>
      <c r="B103" s="471"/>
      <c r="C103" s="471"/>
      <c r="D103" s="471"/>
      <c r="E103" s="471"/>
      <c r="F103" s="471"/>
      <c r="G103" s="468"/>
      <c r="H103" s="468"/>
      <c r="I103" s="468"/>
    </row>
    <row r="104" spans="1:9" s="1" customFormat="1" ht="15.75" hidden="1" thickBot="1">
      <c r="A104" s="471"/>
      <c r="B104" s="471"/>
      <c r="C104" s="471"/>
      <c r="D104" s="471"/>
      <c r="E104" s="471"/>
      <c r="F104" s="471"/>
      <c r="G104" s="468"/>
      <c r="H104" s="468"/>
      <c r="I104" s="468"/>
    </row>
    <row r="105" spans="1:9">
      <c r="A105" s="470" t="s">
        <v>787</v>
      </c>
      <c r="B105" s="470" t="s">
        <v>729</v>
      </c>
      <c r="C105" s="470" t="s">
        <v>788</v>
      </c>
      <c r="D105" s="470" t="s">
        <v>731</v>
      </c>
      <c r="E105" s="470" t="s">
        <v>756</v>
      </c>
      <c r="F105" s="470" t="s">
        <v>789</v>
      </c>
      <c r="G105" s="467">
        <v>40697</v>
      </c>
      <c r="H105" s="470"/>
      <c r="I105" s="470"/>
    </row>
    <row r="106" spans="1:9" s="1" customFormat="1" ht="15.75" hidden="1" thickBot="1">
      <c r="A106" s="471"/>
      <c r="B106" s="471"/>
      <c r="C106" s="471"/>
      <c r="D106" s="471"/>
      <c r="E106" s="471"/>
      <c r="F106" s="471"/>
      <c r="G106" s="468"/>
      <c r="H106" s="471"/>
      <c r="I106" s="471"/>
    </row>
    <row r="107" spans="1:9" s="1" customFormat="1" ht="15.75" hidden="1" thickBot="1">
      <c r="A107" s="471"/>
      <c r="B107" s="471"/>
      <c r="C107" s="471"/>
      <c r="D107" s="471"/>
      <c r="E107" s="471"/>
      <c r="F107" s="471"/>
      <c r="G107" s="468"/>
      <c r="H107" s="471"/>
      <c r="I107" s="471"/>
    </row>
    <row r="108" spans="1:9" s="1" customFormat="1" ht="15.75" hidden="1" thickBot="1">
      <c r="A108" s="471"/>
      <c r="B108" s="471"/>
      <c r="C108" s="471"/>
      <c r="D108" s="471"/>
      <c r="E108" s="471"/>
      <c r="F108" s="471"/>
      <c r="G108" s="468"/>
      <c r="H108" s="471"/>
      <c r="I108" s="471"/>
    </row>
    <row r="109" spans="1:9">
      <c r="A109" s="470" t="s">
        <v>790</v>
      </c>
      <c r="B109" s="470" t="s">
        <v>729</v>
      </c>
      <c r="C109" s="470" t="s">
        <v>765</v>
      </c>
      <c r="D109" s="365" t="s">
        <v>731</v>
      </c>
      <c r="E109" s="470" t="s">
        <v>740</v>
      </c>
      <c r="F109" s="470" t="s">
        <v>789</v>
      </c>
      <c r="G109" s="467">
        <v>40702</v>
      </c>
      <c r="H109" s="470"/>
      <c r="I109" s="470"/>
    </row>
    <row r="110" spans="1:9" s="1" customFormat="1" ht="15.75" hidden="1" thickBot="1">
      <c r="A110" s="471"/>
      <c r="B110" s="471"/>
      <c r="C110" s="471"/>
      <c r="D110" s="55" t="s">
        <v>791</v>
      </c>
      <c r="E110" s="471"/>
      <c r="F110" s="471"/>
      <c r="G110" s="468"/>
      <c r="H110" s="471"/>
      <c r="I110" s="471"/>
    </row>
    <row r="111" spans="1:9" s="1" customFormat="1" ht="15.75" hidden="1" thickBot="1">
      <c r="A111" s="471"/>
      <c r="B111" s="471"/>
      <c r="C111" s="471"/>
      <c r="D111" s="55" t="s">
        <v>792</v>
      </c>
      <c r="E111" s="471"/>
      <c r="F111" s="471"/>
      <c r="G111" s="468"/>
      <c r="H111" s="471"/>
      <c r="I111" s="471"/>
    </row>
    <row r="112" spans="1:9" s="1" customFormat="1" ht="15.75" hidden="1" thickBot="1">
      <c r="A112" s="472"/>
      <c r="B112" s="472"/>
      <c r="C112" s="472"/>
      <c r="D112" s="56"/>
      <c r="E112" s="472"/>
      <c r="F112" s="472"/>
      <c r="G112" s="469"/>
      <c r="H112" s="472"/>
      <c r="I112" s="472"/>
    </row>
    <row r="113" spans="1:9" s="1" customFormat="1" ht="15.75" hidden="1" thickBot="1">
      <c r="A113" s="474" t="s">
        <v>793</v>
      </c>
      <c r="B113" s="474" t="s">
        <v>729</v>
      </c>
      <c r="C113" s="474" t="s">
        <v>794</v>
      </c>
      <c r="D113" s="474" t="s">
        <v>731</v>
      </c>
      <c r="E113" s="474" t="s">
        <v>732</v>
      </c>
      <c r="F113" s="474" t="s">
        <v>737</v>
      </c>
      <c r="G113" s="473">
        <v>40710</v>
      </c>
      <c r="H113" s="473">
        <v>40780</v>
      </c>
      <c r="I113" s="473">
        <v>40780</v>
      </c>
    </row>
    <row r="114" spans="1:9" s="1" customFormat="1" ht="15.75" hidden="1" thickBot="1">
      <c r="A114" s="471"/>
      <c r="B114" s="471"/>
      <c r="C114" s="471"/>
      <c r="D114" s="471"/>
      <c r="E114" s="471"/>
      <c r="F114" s="471"/>
      <c r="G114" s="468"/>
      <c r="H114" s="468"/>
      <c r="I114" s="468"/>
    </row>
    <row r="115" spans="1:9" s="1" customFormat="1" ht="15.75" hidden="1" thickBot="1">
      <c r="A115" s="471"/>
      <c r="B115" s="471"/>
      <c r="C115" s="471"/>
      <c r="D115" s="471"/>
      <c r="E115" s="471"/>
      <c r="F115" s="471"/>
      <c r="G115" s="468"/>
      <c r="H115" s="468"/>
      <c r="I115" s="468"/>
    </row>
    <row r="116" spans="1:9" s="1" customFormat="1" ht="15.75" hidden="1" thickBot="1">
      <c r="A116" s="471"/>
      <c r="B116" s="471"/>
      <c r="C116" s="471"/>
      <c r="D116" s="471"/>
      <c r="E116" s="471"/>
      <c r="F116" s="471"/>
      <c r="G116" s="468"/>
      <c r="H116" s="468"/>
      <c r="I116" s="468"/>
    </row>
    <row r="117" spans="1:9">
      <c r="A117" s="470" t="s">
        <v>795</v>
      </c>
      <c r="B117" s="470" t="s">
        <v>729</v>
      </c>
      <c r="C117" s="470" t="s">
        <v>796</v>
      </c>
      <c r="D117" s="470" t="s">
        <v>731</v>
      </c>
      <c r="E117" s="470" t="s">
        <v>756</v>
      </c>
      <c r="F117" s="470" t="s">
        <v>737</v>
      </c>
      <c r="G117" s="467">
        <v>40714</v>
      </c>
      <c r="H117" s="467">
        <v>40858</v>
      </c>
      <c r="I117" s="467">
        <v>40858</v>
      </c>
    </row>
    <row r="118" spans="1:9" s="1" customFormat="1" ht="15.75" hidden="1" thickBot="1">
      <c r="A118" s="471"/>
      <c r="B118" s="471"/>
      <c r="C118" s="471"/>
      <c r="D118" s="471"/>
      <c r="E118" s="471"/>
      <c r="F118" s="471"/>
      <c r="G118" s="468"/>
      <c r="H118" s="468"/>
      <c r="I118" s="468"/>
    </row>
    <row r="119" spans="1:9" s="1" customFormat="1" ht="15.75" hidden="1" thickBot="1">
      <c r="A119" s="471"/>
      <c r="B119" s="471"/>
      <c r="C119" s="471"/>
      <c r="D119" s="471"/>
      <c r="E119" s="471"/>
      <c r="F119" s="471"/>
      <c r="G119" s="468"/>
      <c r="H119" s="468"/>
      <c r="I119" s="468"/>
    </row>
    <row r="120" spans="1:9" s="1" customFormat="1" ht="15.75" hidden="1" thickBot="1">
      <c r="A120" s="472"/>
      <c r="B120" s="472"/>
      <c r="C120" s="472"/>
      <c r="D120" s="472"/>
      <c r="E120" s="472"/>
      <c r="F120" s="472"/>
      <c r="G120" s="469"/>
      <c r="H120" s="469"/>
      <c r="I120" s="469"/>
    </row>
    <row r="121" spans="1:9" s="1" customFormat="1" ht="15.75" hidden="1" thickBot="1">
      <c r="A121" s="474" t="s">
        <v>797</v>
      </c>
      <c r="B121" s="474" t="s">
        <v>729</v>
      </c>
      <c r="C121" s="474" t="s">
        <v>798</v>
      </c>
      <c r="D121" s="474" t="s">
        <v>731</v>
      </c>
      <c r="E121" s="474" t="s">
        <v>736</v>
      </c>
      <c r="F121" s="474" t="s">
        <v>737</v>
      </c>
      <c r="G121" s="473">
        <v>40718</v>
      </c>
      <c r="H121" s="473">
        <v>40779</v>
      </c>
      <c r="I121" s="473">
        <v>40779</v>
      </c>
    </row>
    <row r="122" spans="1:9" s="1" customFormat="1" ht="15.75" hidden="1" thickBot="1">
      <c r="A122" s="471"/>
      <c r="B122" s="471"/>
      <c r="C122" s="471"/>
      <c r="D122" s="471"/>
      <c r="E122" s="471"/>
      <c r="F122" s="471"/>
      <c r="G122" s="468"/>
      <c r="H122" s="468"/>
      <c r="I122" s="468"/>
    </row>
    <row r="123" spans="1:9" s="1" customFormat="1" ht="15.75" hidden="1" thickBot="1">
      <c r="A123" s="471"/>
      <c r="B123" s="471"/>
      <c r="C123" s="471"/>
      <c r="D123" s="471"/>
      <c r="E123" s="471"/>
      <c r="F123" s="471"/>
      <c r="G123" s="468"/>
      <c r="H123" s="468"/>
      <c r="I123" s="468"/>
    </row>
    <row r="124" spans="1:9" s="1" customFormat="1" ht="15.75" hidden="1" thickBot="1">
      <c r="A124" s="472"/>
      <c r="B124" s="472"/>
      <c r="C124" s="472"/>
      <c r="D124" s="472"/>
      <c r="E124" s="472"/>
      <c r="F124" s="472"/>
      <c r="G124" s="469"/>
      <c r="H124" s="469"/>
      <c r="I124" s="469"/>
    </row>
    <row r="125" spans="1:9" s="1" customFormat="1" ht="15.75" hidden="1" thickBot="1">
      <c r="A125" s="474" t="s">
        <v>799</v>
      </c>
      <c r="B125" s="474" t="s">
        <v>729</v>
      </c>
      <c r="C125" s="474" t="s">
        <v>800</v>
      </c>
      <c r="D125" s="474" t="s">
        <v>731</v>
      </c>
      <c r="E125" s="474" t="s">
        <v>749</v>
      </c>
      <c r="F125" s="474" t="s">
        <v>737</v>
      </c>
      <c r="G125" s="473">
        <v>40732</v>
      </c>
      <c r="H125" s="473">
        <v>40829</v>
      </c>
      <c r="I125" s="473">
        <v>40829</v>
      </c>
    </row>
    <row r="126" spans="1:9" s="1" customFormat="1" ht="15.75" hidden="1" thickBot="1">
      <c r="A126" s="471"/>
      <c r="B126" s="471"/>
      <c r="C126" s="471"/>
      <c r="D126" s="471"/>
      <c r="E126" s="471"/>
      <c r="F126" s="471"/>
      <c r="G126" s="468"/>
      <c r="H126" s="468"/>
      <c r="I126" s="468"/>
    </row>
    <row r="127" spans="1:9" s="1" customFormat="1" ht="15.75" hidden="1" thickBot="1">
      <c r="A127" s="471"/>
      <c r="B127" s="471"/>
      <c r="C127" s="471"/>
      <c r="D127" s="471"/>
      <c r="E127" s="471"/>
      <c r="F127" s="471"/>
      <c r="G127" s="468"/>
      <c r="H127" s="468"/>
      <c r="I127" s="468"/>
    </row>
    <row r="128" spans="1:9" s="1" customFormat="1" ht="15.75" hidden="1" thickBot="1">
      <c r="A128" s="471"/>
      <c r="B128" s="471"/>
      <c r="C128" s="471"/>
      <c r="D128" s="471"/>
      <c r="E128" s="471"/>
      <c r="F128" s="471"/>
      <c r="G128" s="468"/>
      <c r="H128" s="468"/>
      <c r="I128" s="468"/>
    </row>
    <row r="129" spans="1:9">
      <c r="A129" s="470" t="s">
        <v>801</v>
      </c>
      <c r="B129" s="470" t="s">
        <v>729</v>
      </c>
      <c r="C129" s="470" t="s">
        <v>802</v>
      </c>
      <c r="D129" s="470" t="s">
        <v>731</v>
      </c>
      <c r="E129" s="470" t="s">
        <v>393</v>
      </c>
      <c r="F129" s="470" t="s">
        <v>737</v>
      </c>
      <c r="G129" s="467">
        <v>40734</v>
      </c>
      <c r="H129" s="467">
        <v>40918</v>
      </c>
      <c r="I129" s="467">
        <v>40918</v>
      </c>
    </row>
    <row r="130" spans="1:9" s="1" customFormat="1" ht="15.75" hidden="1" thickBot="1">
      <c r="A130" s="471"/>
      <c r="B130" s="471"/>
      <c r="C130" s="471"/>
      <c r="D130" s="471"/>
      <c r="E130" s="471"/>
      <c r="F130" s="471"/>
      <c r="G130" s="468"/>
      <c r="H130" s="468"/>
      <c r="I130" s="468"/>
    </row>
    <row r="131" spans="1:9" s="1" customFormat="1" ht="15.75" hidden="1" thickBot="1">
      <c r="A131" s="471"/>
      <c r="B131" s="471"/>
      <c r="C131" s="471"/>
      <c r="D131" s="471"/>
      <c r="E131" s="471"/>
      <c r="F131" s="471"/>
      <c r="G131" s="468"/>
      <c r="H131" s="468"/>
      <c r="I131" s="468"/>
    </row>
    <row r="132" spans="1:9" s="1" customFormat="1" ht="15.75" hidden="1" thickBot="1">
      <c r="A132" s="471"/>
      <c r="B132" s="471"/>
      <c r="C132" s="471"/>
      <c r="D132" s="471"/>
      <c r="E132" s="471"/>
      <c r="F132" s="471"/>
      <c r="G132" s="468"/>
      <c r="H132" s="468"/>
      <c r="I132" s="468"/>
    </row>
    <row r="133" spans="1:9">
      <c r="A133" s="470" t="s">
        <v>803</v>
      </c>
      <c r="B133" s="470" t="s">
        <v>729</v>
      </c>
      <c r="C133" s="470" t="s">
        <v>804</v>
      </c>
      <c r="D133" s="470" t="s">
        <v>731</v>
      </c>
      <c r="E133" s="470" t="s">
        <v>756</v>
      </c>
      <c r="F133" s="470" t="s">
        <v>737</v>
      </c>
      <c r="G133" s="467">
        <v>40735</v>
      </c>
      <c r="H133" s="467">
        <v>41026</v>
      </c>
      <c r="I133" s="467">
        <v>41026</v>
      </c>
    </row>
    <row r="134" spans="1:9" s="1" customFormat="1" ht="15.75" hidden="1" thickBot="1">
      <c r="A134" s="471"/>
      <c r="B134" s="471"/>
      <c r="C134" s="471"/>
      <c r="D134" s="471"/>
      <c r="E134" s="471"/>
      <c r="F134" s="471"/>
      <c r="G134" s="468"/>
      <c r="H134" s="468"/>
      <c r="I134" s="468"/>
    </row>
    <row r="135" spans="1:9" s="1" customFormat="1" ht="15.75" hidden="1" thickBot="1">
      <c r="A135" s="471"/>
      <c r="B135" s="471"/>
      <c r="C135" s="471"/>
      <c r="D135" s="471"/>
      <c r="E135" s="471"/>
      <c r="F135" s="471"/>
      <c r="G135" s="468"/>
      <c r="H135" s="468"/>
      <c r="I135" s="468"/>
    </row>
    <row r="136" spans="1:9" s="1" customFormat="1" ht="15.75" hidden="1" thickBot="1">
      <c r="A136" s="471"/>
      <c r="B136" s="471"/>
      <c r="C136" s="471"/>
      <c r="D136" s="471"/>
      <c r="E136" s="471"/>
      <c r="F136" s="471"/>
      <c r="G136" s="468"/>
      <c r="H136" s="468"/>
      <c r="I136" s="468"/>
    </row>
    <row r="137" spans="1:9">
      <c r="A137" s="470" t="s">
        <v>805</v>
      </c>
      <c r="B137" s="470" t="s">
        <v>729</v>
      </c>
      <c r="C137" s="470" t="s">
        <v>782</v>
      </c>
      <c r="D137" s="470" t="s">
        <v>731</v>
      </c>
      <c r="E137" s="470" t="s">
        <v>756</v>
      </c>
      <c r="F137" s="470" t="s">
        <v>737</v>
      </c>
      <c r="G137" s="467">
        <v>40737</v>
      </c>
      <c r="H137" s="467">
        <v>40815</v>
      </c>
      <c r="I137" s="467">
        <v>40815</v>
      </c>
    </row>
    <row r="138" spans="1:9" s="1" customFormat="1" ht="15.75" hidden="1" thickBot="1">
      <c r="A138" s="471"/>
      <c r="B138" s="471"/>
      <c r="C138" s="471"/>
      <c r="D138" s="471"/>
      <c r="E138" s="471"/>
      <c r="F138" s="471"/>
      <c r="G138" s="468"/>
      <c r="H138" s="468"/>
      <c r="I138" s="468"/>
    </row>
    <row r="139" spans="1:9" s="1" customFormat="1" ht="15.75" hidden="1" thickBot="1">
      <c r="A139" s="471"/>
      <c r="B139" s="471"/>
      <c r="C139" s="471"/>
      <c r="D139" s="471"/>
      <c r="E139" s="471"/>
      <c r="F139" s="471"/>
      <c r="G139" s="468"/>
      <c r="H139" s="468"/>
      <c r="I139" s="468"/>
    </row>
    <row r="140" spans="1:9" s="1" customFormat="1" ht="15.75" hidden="1" thickBot="1">
      <c r="A140" s="471"/>
      <c r="B140" s="471"/>
      <c r="C140" s="471"/>
      <c r="D140" s="471"/>
      <c r="E140" s="471"/>
      <c r="F140" s="471"/>
      <c r="G140" s="468"/>
      <c r="H140" s="468"/>
      <c r="I140" s="468"/>
    </row>
    <row r="141" spans="1:9">
      <c r="A141" s="470" t="s">
        <v>806</v>
      </c>
      <c r="B141" s="470" t="s">
        <v>729</v>
      </c>
      <c r="C141" s="470" t="s">
        <v>807</v>
      </c>
      <c r="D141" s="470" t="s">
        <v>731</v>
      </c>
      <c r="E141" s="470" t="s">
        <v>740</v>
      </c>
      <c r="F141" s="470" t="s">
        <v>737</v>
      </c>
      <c r="G141" s="467">
        <v>40746</v>
      </c>
      <c r="H141" s="467">
        <v>40805</v>
      </c>
      <c r="I141" s="467">
        <v>40805</v>
      </c>
    </row>
    <row r="142" spans="1:9" s="1" customFormat="1" ht="15.75" hidden="1" thickBot="1">
      <c r="A142" s="471"/>
      <c r="B142" s="471"/>
      <c r="C142" s="471"/>
      <c r="D142" s="471"/>
      <c r="E142" s="471"/>
      <c r="F142" s="471"/>
      <c r="G142" s="468"/>
      <c r="H142" s="468"/>
      <c r="I142" s="468"/>
    </row>
    <row r="143" spans="1:9" s="1" customFormat="1" ht="15.75" hidden="1" thickBot="1">
      <c r="A143" s="471"/>
      <c r="B143" s="471"/>
      <c r="C143" s="471"/>
      <c r="D143" s="471"/>
      <c r="E143" s="471"/>
      <c r="F143" s="471"/>
      <c r="G143" s="468"/>
      <c r="H143" s="468"/>
      <c r="I143" s="468"/>
    </row>
    <row r="144" spans="1:9" s="1" customFormat="1" ht="15.75" hidden="1" thickBot="1">
      <c r="A144" s="471"/>
      <c r="B144" s="471"/>
      <c r="C144" s="471"/>
      <c r="D144" s="471"/>
      <c r="E144" s="471"/>
      <c r="F144" s="471"/>
      <c r="G144" s="468"/>
      <c r="H144" s="468"/>
      <c r="I144" s="468"/>
    </row>
    <row r="145" spans="1:9">
      <c r="A145" s="470" t="s">
        <v>808</v>
      </c>
      <c r="B145" s="470" t="s">
        <v>729</v>
      </c>
      <c r="C145" s="470" t="s">
        <v>779</v>
      </c>
      <c r="D145" s="470" t="s">
        <v>731</v>
      </c>
      <c r="E145" s="470" t="s">
        <v>740</v>
      </c>
      <c r="F145" s="470" t="s">
        <v>737</v>
      </c>
      <c r="G145" s="467">
        <v>40750</v>
      </c>
      <c r="H145" s="467">
        <v>40896</v>
      </c>
      <c r="I145" s="467">
        <v>40896</v>
      </c>
    </row>
    <row r="146" spans="1:9" s="1" customFormat="1" ht="15.75" hidden="1" thickBot="1">
      <c r="A146" s="471"/>
      <c r="B146" s="471"/>
      <c r="C146" s="471"/>
      <c r="D146" s="471"/>
      <c r="E146" s="471"/>
      <c r="F146" s="471"/>
      <c r="G146" s="468"/>
      <c r="H146" s="468"/>
      <c r="I146" s="468"/>
    </row>
    <row r="147" spans="1:9" s="1" customFormat="1" ht="15.75" hidden="1" thickBot="1">
      <c r="A147" s="471"/>
      <c r="B147" s="471"/>
      <c r="C147" s="471"/>
      <c r="D147" s="471"/>
      <c r="E147" s="471"/>
      <c r="F147" s="471"/>
      <c r="G147" s="468"/>
      <c r="H147" s="468"/>
      <c r="I147" s="468"/>
    </row>
    <row r="148" spans="1:9" s="1" customFormat="1" ht="15.75" hidden="1" thickBot="1">
      <c r="A148" s="471"/>
      <c r="B148" s="471"/>
      <c r="C148" s="471"/>
      <c r="D148" s="471"/>
      <c r="E148" s="471"/>
      <c r="F148" s="471"/>
      <c r="G148" s="468"/>
      <c r="H148" s="468"/>
      <c r="I148" s="468"/>
    </row>
    <row r="149" spans="1:9">
      <c r="A149" s="470" t="s">
        <v>809</v>
      </c>
      <c r="B149" s="470" t="s">
        <v>729</v>
      </c>
      <c r="C149" s="470" t="s">
        <v>810</v>
      </c>
      <c r="D149" s="470" t="s">
        <v>731</v>
      </c>
      <c r="E149" s="470" t="s">
        <v>740</v>
      </c>
      <c r="F149" s="470" t="s">
        <v>737</v>
      </c>
      <c r="G149" s="467">
        <v>40752</v>
      </c>
      <c r="H149" s="467">
        <v>40813</v>
      </c>
      <c r="I149" s="467">
        <v>40813</v>
      </c>
    </row>
    <row r="150" spans="1:9" s="1" customFormat="1" ht="15.75" hidden="1" thickBot="1">
      <c r="A150" s="471"/>
      <c r="B150" s="471"/>
      <c r="C150" s="471"/>
      <c r="D150" s="471"/>
      <c r="E150" s="471"/>
      <c r="F150" s="471"/>
      <c r="G150" s="468"/>
      <c r="H150" s="468"/>
      <c r="I150" s="468"/>
    </row>
    <row r="151" spans="1:9" s="1" customFormat="1" ht="15.75" hidden="1" thickBot="1">
      <c r="A151" s="471"/>
      <c r="B151" s="471"/>
      <c r="C151" s="471"/>
      <c r="D151" s="471"/>
      <c r="E151" s="471"/>
      <c r="F151" s="471"/>
      <c r="G151" s="468"/>
      <c r="H151" s="468"/>
      <c r="I151" s="468"/>
    </row>
    <row r="152" spans="1:9" s="1" customFormat="1" ht="15.75" hidden="1" thickBot="1">
      <c r="A152" s="471"/>
      <c r="B152" s="471"/>
      <c r="C152" s="471"/>
      <c r="D152" s="471"/>
      <c r="E152" s="471"/>
      <c r="F152" s="471"/>
      <c r="G152" s="468"/>
      <c r="H152" s="468"/>
      <c r="I152" s="468"/>
    </row>
    <row r="153" spans="1:9">
      <c r="A153" s="470" t="s">
        <v>811</v>
      </c>
      <c r="B153" s="470" t="s">
        <v>729</v>
      </c>
      <c r="C153" s="470" t="s">
        <v>812</v>
      </c>
      <c r="D153" s="470" t="s">
        <v>731</v>
      </c>
      <c r="E153" s="470" t="s">
        <v>740</v>
      </c>
      <c r="F153" s="470" t="s">
        <v>737</v>
      </c>
      <c r="G153" s="467">
        <v>40753</v>
      </c>
      <c r="H153" s="467">
        <v>40828</v>
      </c>
      <c r="I153" s="467">
        <v>40828</v>
      </c>
    </row>
    <row r="154" spans="1:9" s="1" customFormat="1" ht="15.75" hidden="1" thickBot="1">
      <c r="A154" s="471"/>
      <c r="B154" s="471"/>
      <c r="C154" s="471"/>
      <c r="D154" s="471"/>
      <c r="E154" s="471"/>
      <c r="F154" s="471"/>
      <c r="G154" s="468"/>
      <c r="H154" s="468"/>
      <c r="I154" s="468"/>
    </row>
    <row r="155" spans="1:9" s="1" customFormat="1" ht="15.75" hidden="1" thickBot="1">
      <c r="A155" s="471"/>
      <c r="B155" s="471"/>
      <c r="C155" s="471"/>
      <c r="D155" s="471"/>
      <c r="E155" s="471"/>
      <c r="F155" s="471"/>
      <c r="G155" s="468"/>
      <c r="H155" s="468"/>
      <c r="I155" s="468"/>
    </row>
    <row r="156" spans="1:9" s="1" customFormat="1" ht="15.75" hidden="1" thickBot="1">
      <c r="A156" s="471"/>
      <c r="B156" s="471"/>
      <c r="C156" s="471"/>
      <c r="D156" s="471"/>
      <c r="E156" s="471"/>
      <c r="F156" s="471"/>
      <c r="G156" s="468"/>
      <c r="H156" s="468"/>
      <c r="I156" s="468"/>
    </row>
    <row r="157" spans="1:9">
      <c r="A157" s="470" t="s">
        <v>813</v>
      </c>
      <c r="B157" s="470" t="s">
        <v>729</v>
      </c>
      <c r="C157" s="470" t="s">
        <v>782</v>
      </c>
      <c r="D157" s="470" t="s">
        <v>731</v>
      </c>
      <c r="E157" s="470" t="s">
        <v>740</v>
      </c>
      <c r="F157" s="470" t="s">
        <v>737</v>
      </c>
      <c r="G157" s="467">
        <v>40753</v>
      </c>
      <c r="H157" s="467">
        <v>40841</v>
      </c>
      <c r="I157" s="467">
        <v>40841</v>
      </c>
    </row>
    <row r="158" spans="1:9" s="1" customFormat="1" ht="15.75" hidden="1" thickBot="1">
      <c r="A158" s="471"/>
      <c r="B158" s="471"/>
      <c r="C158" s="471"/>
      <c r="D158" s="471"/>
      <c r="E158" s="471"/>
      <c r="F158" s="471"/>
      <c r="G158" s="468"/>
      <c r="H158" s="468"/>
      <c r="I158" s="468"/>
    </row>
    <row r="159" spans="1:9" s="1" customFormat="1" ht="15.75" hidden="1" thickBot="1">
      <c r="A159" s="471"/>
      <c r="B159" s="471"/>
      <c r="C159" s="471"/>
      <c r="D159" s="471"/>
      <c r="E159" s="471"/>
      <c r="F159" s="471"/>
      <c r="G159" s="468"/>
      <c r="H159" s="468"/>
      <c r="I159" s="468"/>
    </row>
    <row r="160" spans="1:9" s="1" customFormat="1" ht="15.75" hidden="1" thickBot="1">
      <c r="A160" s="471"/>
      <c r="B160" s="471"/>
      <c r="C160" s="471"/>
      <c r="D160" s="471"/>
      <c r="E160" s="471"/>
      <c r="F160" s="471"/>
      <c r="G160" s="468"/>
      <c r="H160" s="468"/>
      <c r="I160" s="468"/>
    </row>
    <row r="161" spans="1:9">
      <c r="A161" s="470" t="s">
        <v>814</v>
      </c>
      <c r="B161" s="470" t="s">
        <v>729</v>
      </c>
      <c r="C161" s="470" t="s">
        <v>815</v>
      </c>
      <c r="D161" s="470" t="s">
        <v>731</v>
      </c>
      <c r="E161" s="470" t="s">
        <v>756</v>
      </c>
      <c r="F161" s="470" t="s">
        <v>737</v>
      </c>
      <c r="G161" s="467">
        <v>40753</v>
      </c>
      <c r="H161" s="467">
        <v>40828</v>
      </c>
      <c r="I161" s="467">
        <v>40828</v>
      </c>
    </row>
    <row r="162" spans="1:9" s="1" customFormat="1" ht="15.75" hidden="1" thickBot="1">
      <c r="A162" s="471"/>
      <c r="B162" s="471"/>
      <c r="C162" s="471"/>
      <c r="D162" s="471"/>
      <c r="E162" s="471"/>
      <c r="F162" s="471"/>
      <c r="G162" s="468"/>
      <c r="H162" s="468"/>
      <c r="I162" s="468"/>
    </row>
    <row r="163" spans="1:9" s="1" customFormat="1" ht="15.75" hidden="1" thickBot="1">
      <c r="A163" s="471"/>
      <c r="B163" s="471"/>
      <c r="C163" s="471"/>
      <c r="D163" s="471"/>
      <c r="E163" s="471"/>
      <c r="F163" s="471"/>
      <c r="G163" s="468"/>
      <c r="H163" s="468"/>
      <c r="I163" s="468"/>
    </row>
    <row r="164" spans="1:9" s="1" customFormat="1" ht="15.75" hidden="1" thickBot="1">
      <c r="A164" s="472"/>
      <c r="B164" s="472"/>
      <c r="C164" s="472"/>
      <c r="D164" s="472"/>
      <c r="E164" s="472"/>
      <c r="F164" s="472"/>
      <c r="G164" s="469"/>
      <c r="H164" s="469"/>
      <c r="I164" s="469"/>
    </row>
    <row r="165" spans="1:9" s="1" customFormat="1" ht="15.75" hidden="1" thickBot="1">
      <c r="A165" s="474" t="s">
        <v>816</v>
      </c>
      <c r="B165" s="474" t="s">
        <v>729</v>
      </c>
      <c r="C165" s="474" t="s">
        <v>765</v>
      </c>
      <c r="D165" s="474" t="s">
        <v>731</v>
      </c>
      <c r="E165" s="474" t="s">
        <v>762</v>
      </c>
      <c r="F165" s="474" t="s">
        <v>737</v>
      </c>
      <c r="G165" s="473">
        <v>40757</v>
      </c>
      <c r="H165" s="473">
        <v>40847</v>
      </c>
      <c r="I165" s="473">
        <v>40847</v>
      </c>
    </row>
    <row r="166" spans="1:9" s="1" customFormat="1" ht="15.75" hidden="1" thickBot="1">
      <c r="A166" s="471"/>
      <c r="B166" s="471"/>
      <c r="C166" s="471"/>
      <c r="D166" s="471"/>
      <c r="E166" s="471"/>
      <c r="F166" s="471"/>
      <c r="G166" s="468"/>
      <c r="H166" s="468"/>
      <c r="I166" s="468"/>
    </row>
    <row r="167" spans="1:9" s="1" customFormat="1" ht="15.75" hidden="1" thickBot="1">
      <c r="A167" s="471"/>
      <c r="B167" s="471"/>
      <c r="C167" s="471"/>
      <c r="D167" s="471"/>
      <c r="E167" s="471"/>
      <c r="F167" s="471"/>
      <c r="G167" s="468"/>
      <c r="H167" s="468"/>
      <c r="I167" s="468"/>
    </row>
    <row r="168" spans="1:9" s="1" customFormat="1" ht="15.75" hidden="1" thickBot="1">
      <c r="A168" s="472"/>
      <c r="B168" s="472"/>
      <c r="C168" s="472"/>
      <c r="D168" s="472"/>
      <c r="E168" s="472"/>
      <c r="F168" s="472"/>
      <c r="G168" s="469"/>
      <c r="H168" s="469"/>
      <c r="I168" s="469"/>
    </row>
    <row r="169" spans="1:9" s="1" customFormat="1" ht="15.75" hidden="1" thickBot="1">
      <c r="A169" s="474" t="s">
        <v>817</v>
      </c>
      <c r="B169" s="474" t="s">
        <v>729</v>
      </c>
      <c r="C169" s="474" t="s">
        <v>818</v>
      </c>
      <c r="D169" s="474" t="s">
        <v>731</v>
      </c>
      <c r="E169" s="474" t="s">
        <v>762</v>
      </c>
      <c r="F169" s="474" t="s">
        <v>737</v>
      </c>
      <c r="G169" s="473">
        <v>40758</v>
      </c>
      <c r="H169" s="473">
        <v>40940</v>
      </c>
      <c r="I169" s="473">
        <v>40940</v>
      </c>
    </row>
    <row r="170" spans="1:9" s="1" customFormat="1" ht="15.75" hidden="1" thickBot="1">
      <c r="A170" s="471"/>
      <c r="B170" s="471"/>
      <c r="C170" s="471"/>
      <c r="D170" s="471"/>
      <c r="E170" s="471"/>
      <c r="F170" s="471"/>
      <c r="G170" s="468"/>
      <c r="H170" s="468"/>
      <c r="I170" s="468"/>
    </row>
    <row r="171" spans="1:9" s="1" customFormat="1" ht="15.75" hidden="1" thickBot="1">
      <c r="A171" s="471"/>
      <c r="B171" s="471"/>
      <c r="C171" s="471"/>
      <c r="D171" s="471"/>
      <c r="E171" s="471"/>
      <c r="F171" s="471"/>
      <c r="G171" s="468"/>
      <c r="H171" s="468"/>
      <c r="I171" s="468"/>
    </row>
    <row r="172" spans="1:9" s="1" customFormat="1" ht="15.75" hidden="1" thickBot="1">
      <c r="A172" s="471"/>
      <c r="B172" s="471"/>
      <c r="C172" s="471"/>
      <c r="D172" s="471"/>
      <c r="E172" s="471"/>
      <c r="F172" s="471"/>
      <c r="G172" s="468"/>
      <c r="H172" s="468"/>
      <c r="I172" s="468"/>
    </row>
    <row r="173" spans="1:9">
      <c r="A173" s="470" t="s">
        <v>819</v>
      </c>
      <c r="B173" s="470" t="s">
        <v>729</v>
      </c>
      <c r="C173" s="470" t="s">
        <v>820</v>
      </c>
      <c r="D173" s="470" t="s">
        <v>731</v>
      </c>
      <c r="E173" s="470" t="s">
        <v>740</v>
      </c>
      <c r="F173" s="470" t="s">
        <v>737</v>
      </c>
      <c r="G173" s="467">
        <v>40781</v>
      </c>
      <c r="H173" s="467">
        <v>40828</v>
      </c>
      <c r="I173" s="467">
        <v>40828</v>
      </c>
    </row>
    <row r="174" spans="1:9" s="1" customFormat="1" ht="15.75" hidden="1" thickBot="1">
      <c r="A174" s="471"/>
      <c r="B174" s="471"/>
      <c r="C174" s="471"/>
      <c r="D174" s="471"/>
      <c r="E174" s="471"/>
      <c r="F174" s="471"/>
      <c r="G174" s="468"/>
      <c r="H174" s="468"/>
      <c r="I174" s="468"/>
    </row>
    <row r="175" spans="1:9" s="1" customFormat="1" ht="15.75" hidden="1" thickBot="1">
      <c r="A175" s="471"/>
      <c r="B175" s="471"/>
      <c r="C175" s="471"/>
      <c r="D175" s="471"/>
      <c r="E175" s="471"/>
      <c r="F175" s="471"/>
      <c r="G175" s="468"/>
      <c r="H175" s="468"/>
      <c r="I175" s="468"/>
    </row>
    <row r="176" spans="1:9" s="1" customFormat="1" ht="15.75" hidden="1" thickBot="1">
      <c r="A176" s="471"/>
      <c r="B176" s="471"/>
      <c r="C176" s="471"/>
      <c r="D176" s="471"/>
      <c r="E176" s="471"/>
      <c r="F176" s="471"/>
      <c r="G176" s="468"/>
      <c r="H176" s="468"/>
      <c r="I176" s="468"/>
    </row>
    <row r="177" spans="1:9">
      <c r="A177" s="470" t="s">
        <v>821</v>
      </c>
      <c r="B177" s="470" t="s">
        <v>729</v>
      </c>
      <c r="C177" s="470" t="s">
        <v>822</v>
      </c>
      <c r="D177" s="470" t="s">
        <v>731</v>
      </c>
      <c r="E177" s="470" t="s">
        <v>740</v>
      </c>
      <c r="F177" s="470" t="s">
        <v>737</v>
      </c>
      <c r="G177" s="467">
        <v>40786</v>
      </c>
      <c r="H177" s="467">
        <v>40869</v>
      </c>
      <c r="I177" s="467">
        <v>40869</v>
      </c>
    </row>
    <row r="178" spans="1:9" s="1" customFormat="1" ht="15.75" hidden="1" thickBot="1">
      <c r="A178" s="471"/>
      <c r="B178" s="471"/>
      <c r="C178" s="471"/>
      <c r="D178" s="471"/>
      <c r="E178" s="471"/>
      <c r="F178" s="471"/>
      <c r="G178" s="468"/>
      <c r="H178" s="468"/>
      <c r="I178" s="468"/>
    </row>
    <row r="179" spans="1:9" s="1" customFormat="1" ht="15.75" hidden="1" thickBot="1">
      <c r="A179" s="471"/>
      <c r="B179" s="471"/>
      <c r="C179" s="471"/>
      <c r="D179" s="471"/>
      <c r="E179" s="471"/>
      <c r="F179" s="471"/>
      <c r="G179" s="468"/>
      <c r="H179" s="468"/>
      <c r="I179" s="468"/>
    </row>
    <row r="180" spans="1:9" s="1" customFormat="1" ht="15.75" hidden="1" thickBot="1">
      <c r="A180" s="472"/>
      <c r="B180" s="472"/>
      <c r="C180" s="472"/>
      <c r="D180" s="472"/>
      <c r="E180" s="472"/>
      <c r="F180" s="472"/>
      <c r="G180" s="469"/>
      <c r="H180" s="469"/>
      <c r="I180" s="469"/>
    </row>
    <row r="181" spans="1:9" s="1" customFormat="1" ht="15.75" hidden="1" thickBot="1">
      <c r="A181" s="474" t="s">
        <v>823</v>
      </c>
      <c r="B181" s="474" t="s">
        <v>729</v>
      </c>
      <c r="C181" s="474" t="s">
        <v>824</v>
      </c>
      <c r="D181" s="474" t="s">
        <v>731</v>
      </c>
      <c r="E181" s="474" t="s">
        <v>762</v>
      </c>
      <c r="F181" s="474" t="s">
        <v>737</v>
      </c>
      <c r="G181" s="473">
        <v>40787</v>
      </c>
      <c r="H181" s="473">
        <v>41026</v>
      </c>
      <c r="I181" s="473">
        <v>41026</v>
      </c>
    </row>
    <row r="182" spans="1:9" s="1" customFormat="1" ht="15.75" hidden="1" thickBot="1">
      <c r="A182" s="471"/>
      <c r="B182" s="471"/>
      <c r="C182" s="471"/>
      <c r="D182" s="471"/>
      <c r="E182" s="471"/>
      <c r="F182" s="471"/>
      <c r="G182" s="468"/>
      <c r="H182" s="468"/>
      <c r="I182" s="468"/>
    </row>
    <row r="183" spans="1:9" s="1" customFormat="1" ht="15.75" hidden="1" thickBot="1">
      <c r="A183" s="471"/>
      <c r="B183" s="471"/>
      <c r="C183" s="471"/>
      <c r="D183" s="471"/>
      <c r="E183" s="471"/>
      <c r="F183" s="471"/>
      <c r="G183" s="468"/>
      <c r="H183" s="468"/>
      <c r="I183" s="468"/>
    </row>
    <row r="184" spans="1:9" s="1" customFormat="1" ht="15.75" hidden="1" thickBot="1">
      <c r="A184" s="471"/>
      <c r="B184" s="471"/>
      <c r="C184" s="471"/>
      <c r="D184" s="471"/>
      <c r="E184" s="471"/>
      <c r="F184" s="471"/>
      <c r="G184" s="468"/>
      <c r="H184" s="468"/>
      <c r="I184" s="468"/>
    </row>
    <row r="185" spans="1:9">
      <c r="A185" s="470" t="s">
        <v>825</v>
      </c>
      <c r="B185" s="470" t="s">
        <v>729</v>
      </c>
      <c r="C185" s="470" t="s">
        <v>826</v>
      </c>
      <c r="D185" s="470" t="s">
        <v>731</v>
      </c>
      <c r="E185" s="470" t="s">
        <v>740</v>
      </c>
      <c r="F185" s="470" t="s">
        <v>733</v>
      </c>
      <c r="G185" s="467">
        <v>40788</v>
      </c>
      <c r="H185" s="470"/>
      <c r="I185" s="470"/>
    </row>
    <row r="186" spans="1:9" s="1" customFormat="1" ht="15.75" hidden="1" thickBot="1">
      <c r="A186" s="471"/>
      <c r="B186" s="471"/>
      <c r="C186" s="471"/>
      <c r="D186" s="471"/>
      <c r="E186" s="471"/>
      <c r="F186" s="471"/>
      <c r="G186" s="468"/>
      <c r="H186" s="471"/>
      <c r="I186" s="471"/>
    </row>
    <row r="187" spans="1:9" s="1" customFormat="1" ht="15.75" hidden="1" thickBot="1">
      <c r="A187" s="471"/>
      <c r="B187" s="471"/>
      <c r="C187" s="471"/>
      <c r="D187" s="471"/>
      <c r="E187" s="471"/>
      <c r="F187" s="471"/>
      <c r="G187" s="468"/>
      <c r="H187" s="471"/>
      <c r="I187" s="471"/>
    </row>
    <row r="188" spans="1:9" s="1" customFormat="1" ht="15.75" hidden="1" thickBot="1">
      <c r="A188" s="471"/>
      <c r="B188" s="471"/>
      <c r="C188" s="471"/>
      <c r="D188" s="471"/>
      <c r="E188" s="471"/>
      <c r="F188" s="471"/>
      <c r="G188" s="468"/>
      <c r="H188" s="471"/>
      <c r="I188" s="471"/>
    </row>
    <row r="189" spans="1:9">
      <c r="A189" s="470" t="s">
        <v>827</v>
      </c>
      <c r="B189" s="470" t="s">
        <v>729</v>
      </c>
      <c r="C189" s="470" t="s">
        <v>828</v>
      </c>
      <c r="D189" s="470" t="s">
        <v>731</v>
      </c>
      <c r="E189" s="470" t="s">
        <v>756</v>
      </c>
      <c r="F189" s="470" t="s">
        <v>737</v>
      </c>
      <c r="G189" s="467">
        <v>40791</v>
      </c>
      <c r="H189" s="467">
        <v>40858</v>
      </c>
      <c r="I189" s="467">
        <v>40858</v>
      </c>
    </row>
    <row r="190" spans="1:9" s="1" customFormat="1" ht="15.75" hidden="1" thickBot="1">
      <c r="A190" s="471"/>
      <c r="B190" s="471"/>
      <c r="C190" s="471"/>
      <c r="D190" s="471"/>
      <c r="E190" s="471"/>
      <c r="F190" s="471"/>
      <c r="G190" s="468"/>
      <c r="H190" s="468"/>
      <c r="I190" s="468"/>
    </row>
    <row r="191" spans="1:9" s="1" customFormat="1" ht="15.75" hidden="1" thickBot="1">
      <c r="A191" s="471"/>
      <c r="B191" s="471"/>
      <c r="C191" s="471"/>
      <c r="D191" s="471"/>
      <c r="E191" s="471"/>
      <c r="F191" s="471"/>
      <c r="G191" s="468"/>
      <c r="H191" s="468"/>
      <c r="I191" s="468"/>
    </row>
    <row r="192" spans="1:9" s="1" customFormat="1" ht="15.75" hidden="1" thickBot="1">
      <c r="A192" s="471"/>
      <c r="B192" s="471"/>
      <c r="C192" s="471"/>
      <c r="D192" s="471"/>
      <c r="E192" s="471"/>
      <c r="F192" s="471"/>
      <c r="G192" s="468"/>
      <c r="H192" s="468"/>
      <c r="I192" s="468"/>
    </row>
    <row r="193" spans="1:9" ht="15" customHeight="1">
      <c r="A193" s="475" t="s">
        <v>829</v>
      </c>
      <c r="B193" s="470" t="s">
        <v>729</v>
      </c>
      <c r="C193" s="470" t="s">
        <v>830</v>
      </c>
      <c r="D193" s="470" t="s">
        <v>731</v>
      </c>
      <c r="E193" s="470" t="s">
        <v>393</v>
      </c>
      <c r="F193" s="470" t="s">
        <v>831</v>
      </c>
      <c r="G193" s="467">
        <v>40798</v>
      </c>
      <c r="H193" s="470"/>
      <c r="I193" s="470"/>
    </row>
    <row r="194" spans="1:9" s="1" customFormat="1" ht="15" hidden="1" customHeight="1">
      <c r="A194" s="476"/>
      <c r="B194" s="471"/>
      <c r="C194" s="471"/>
      <c r="D194" s="471"/>
      <c r="E194" s="471"/>
      <c r="F194" s="471"/>
      <c r="G194" s="468"/>
      <c r="H194" s="471"/>
      <c r="I194" s="471"/>
    </row>
    <row r="195" spans="1:9" s="1" customFormat="1" ht="15" hidden="1" customHeight="1">
      <c r="A195" s="476"/>
      <c r="B195" s="471"/>
      <c r="C195" s="471"/>
      <c r="D195" s="471"/>
      <c r="E195" s="471"/>
      <c r="F195" s="471"/>
      <c r="G195" s="468"/>
      <c r="H195" s="471"/>
      <c r="I195" s="471"/>
    </row>
    <row r="196" spans="1:9" s="1" customFormat="1" ht="15" hidden="1" customHeight="1">
      <c r="A196" s="477"/>
      <c r="B196" s="471"/>
      <c r="C196" s="471"/>
      <c r="D196" s="471"/>
      <c r="E196" s="471"/>
      <c r="F196" s="471"/>
      <c r="G196" s="468"/>
      <c r="H196" s="471"/>
      <c r="I196" s="471"/>
    </row>
    <row r="197" spans="1:9">
      <c r="A197" s="470" t="s">
        <v>832</v>
      </c>
      <c r="B197" s="470" t="s">
        <v>729</v>
      </c>
      <c r="C197" s="470" t="s">
        <v>833</v>
      </c>
      <c r="D197" s="470" t="s">
        <v>731</v>
      </c>
      <c r="E197" s="470" t="s">
        <v>756</v>
      </c>
      <c r="F197" s="470" t="s">
        <v>737</v>
      </c>
      <c r="G197" s="467">
        <v>40802</v>
      </c>
      <c r="H197" s="467">
        <v>40920</v>
      </c>
      <c r="I197" s="467">
        <v>40920</v>
      </c>
    </row>
    <row r="198" spans="1:9" s="1" customFormat="1" ht="15.75" hidden="1" thickBot="1">
      <c r="A198" s="471"/>
      <c r="B198" s="471"/>
      <c r="C198" s="471"/>
      <c r="D198" s="471"/>
      <c r="E198" s="471"/>
      <c r="F198" s="471"/>
      <c r="G198" s="468"/>
      <c r="H198" s="468"/>
      <c r="I198" s="468"/>
    </row>
    <row r="199" spans="1:9" s="1" customFormat="1" ht="15.75" hidden="1" thickBot="1">
      <c r="A199" s="471"/>
      <c r="B199" s="471"/>
      <c r="C199" s="471"/>
      <c r="D199" s="471"/>
      <c r="E199" s="471"/>
      <c r="F199" s="471"/>
      <c r="G199" s="468"/>
      <c r="H199" s="468"/>
      <c r="I199" s="468"/>
    </row>
    <row r="200" spans="1:9" s="1" customFormat="1" ht="15.75" hidden="1" thickBot="1">
      <c r="A200" s="471"/>
      <c r="B200" s="471"/>
      <c r="C200" s="471"/>
      <c r="D200" s="471"/>
      <c r="E200" s="471"/>
      <c r="F200" s="471"/>
      <c r="G200" s="468"/>
      <c r="H200" s="468"/>
      <c r="I200" s="468"/>
    </row>
    <row r="201" spans="1:9">
      <c r="A201" s="470" t="s">
        <v>834</v>
      </c>
      <c r="B201" s="470" t="s">
        <v>729</v>
      </c>
      <c r="C201" s="470" t="s">
        <v>779</v>
      </c>
      <c r="D201" s="470" t="s">
        <v>731</v>
      </c>
      <c r="E201" s="470" t="s">
        <v>740</v>
      </c>
      <c r="F201" s="470" t="s">
        <v>737</v>
      </c>
      <c r="G201" s="467">
        <v>40806</v>
      </c>
      <c r="H201" s="467">
        <v>40870</v>
      </c>
      <c r="I201" s="467">
        <v>40870</v>
      </c>
    </row>
    <row r="202" spans="1:9" s="1" customFormat="1" ht="15.75" hidden="1" thickBot="1">
      <c r="A202" s="471"/>
      <c r="B202" s="471"/>
      <c r="C202" s="471"/>
      <c r="D202" s="471"/>
      <c r="E202" s="471"/>
      <c r="F202" s="471"/>
      <c r="G202" s="468"/>
      <c r="H202" s="468"/>
      <c r="I202" s="468"/>
    </row>
    <row r="203" spans="1:9" s="1" customFormat="1" ht="15.75" hidden="1" thickBot="1">
      <c r="A203" s="471"/>
      <c r="B203" s="471"/>
      <c r="C203" s="471"/>
      <c r="D203" s="471"/>
      <c r="E203" s="471"/>
      <c r="F203" s="471"/>
      <c r="G203" s="468"/>
      <c r="H203" s="468"/>
      <c r="I203" s="468"/>
    </row>
    <row r="204" spans="1:9" s="1" customFormat="1" ht="15.75" hidden="1" thickBot="1">
      <c r="A204" s="472"/>
      <c r="B204" s="472"/>
      <c r="C204" s="472"/>
      <c r="D204" s="472"/>
      <c r="E204" s="472"/>
      <c r="F204" s="472"/>
      <c r="G204" s="469"/>
      <c r="H204" s="469"/>
      <c r="I204" s="469"/>
    </row>
    <row r="205" spans="1:9" s="1" customFormat="1" ht="15.75" hidden="1" thickBot="1">
      <c r="A205" s="474" t="s">
        <v>835</v>
      </c>
      <c r="B205" s="474" t="s">
        <v>729</v>
      </c>
      <c r="C205" s="474" t="s">
        <v>836</v>
      </c>
      <c r="D205" s="474" t="s">
        <v>731</v>
      </c>
      <c r="E205" s="474" t="s">
        <v>762</v>
      </c>
      <c r="F205" s="474" t="s">
        <v>737</v>
      </c>
      <c r="G205" s="473">
        <v>40807</v>
      </c>
      <c r="H205" s="473">
        <v>40939</v>
      </c>
      <c r="I205" s="473">
        <v>40939</v>
      </c>
    </row>
    <row r="206" spans="1:9" s="1" customFormat="1" ht="15.75" hidden="1" thickBot="1">
      <c r="A206" s="471"/>
      <c r="B206" s="471"/>
      <c r="C206" s="471"/>
      <c r="D206" s="471"/>
      <c r="E206" s="471"/>
      <c r="F206" s="471"/>
      <c r="G206" s="468"/>
      <c r="H206" s="468"/>
      <c r="I206" s="468"/>
    </row>
    <row r="207" spans="1:9" s="1" customFormat="1" ht="15.75" hidden="1" thickBot="1">
      <c r="A207" s="471"/>
      <c r="B207" s="471"/>
      <c r="C207" s="471"/>
      <c r="D207" s="471"/>
      <c r="E207" s="471"/>
      <c r="F207" s="471"/>
      <c r="G207" s="468"/>
      <c r="H207" s="468"/>
      <c r="I207" s="468"/>
    </row>
    <row r="208" spans="1:9" s="1" customFormat="1" ht="15.75" hidden="1" thickBot="1">
      <c r="A208" s="472"/>
      <c r="B208" s="472"/>
      <c r="C208" s="472"/>
      <c r="D208" s="472"/>
      <c r="E208" s="472"/>
      <c r="F208" s="472"/>
      <c r="G208" s="469"/>
      <c r="H208" s="469"/>
      <c r="I208" s="469"/>
    </row>
    <row r="209" spans="1:9" s="1" customFormat="1" ht="15.75" hidden="1" thickBot="1">
      <c r="A209" s="474" t="s">
        <v>837</v>
      </c>
      <c r="B209" s="474" t="s">
        <v>729</v>
      </c>
      <c r="C209" s="474" t="s">
        <v>838</v>
      </c>
      <c r="D209" s="474" t="s">
        <v>731</v>
      </c>
      <c r="E209" s="474" t="s">
        <v>762</v>
      </c>
      <c r="F209" s="474" t="s">
        <v>737</v>
      </c>
      <c r="G209" s="473">
        <v>40809</v>
      </c>
      <c r="H209" s="473">
        <v>40947</v>
      </c>
      <c r="I209" s="473">
        <v>40947</v>
      </c>
    </row>
    <row r="210" spans="1:9" s="1" customFormat="1" ht="15.75" hidden="1" thickBot="1">
      <c r="A210" s="471"/>
      <c r="B210" s="471"/>
      <c r="C210" s="471"/>
      <c r="D210" s="471"/>
      <c r="E210" s="471"/>
      <c r="F210" s="471"/>
      <c r="G210" s="468"/>
      <c r="H210" s="468"/>
      <c r="I210" s="468"/>
    </row>
    <row r="211" spans="1:9" s="1" customFormat="1" ht="15.75" hidden="1" thickBot="1">
      <c r="A211" s="471"/>
      <c r="B211" s="471"/>
      <c r="C211" s="471"/>
      <c r="D211" s="471"/>
      <c r="E211" s="471"/>
      <c r="F211" s="471"/>
      <c r="G211" s="468"/>
      <c r="H211" s="468"/>
      <c r="I211" s="468"/>
    </row>
    <row r="212" spans="1:9" s="1" customFormat="1" ht="15.75" hidden="1" thickBot="1">
      <c r="A212" s="471"/>
      <c r="B212" s="471"/>
      <c r="C212" s="471"/>
      <c r="D212" s="471"/>
      <c r="E212" s="471"/>
      <c r="F212" s="471"/>
      <c r="G212" s="468"/>
      <c r="H212" s="468"/>
      <c r="I212" s="468"/>
    </row>
    <row r="213" spans="1:9">
      <c r="A213" s="470" t="s">
        <v>839</v>
      </c>
      <c r="B213" s="470" t="s">
        <v>729</v>
      </c>
      <c r="C213" s="470" t="s">
        <v>820</v>
      </c>
      <c r="D213" s="470" t="s">
        <v>731</v>
      </c>
      <c r="E213" s="470" t="s">
        <v>740</v>
      </c>
      <c r="F213" s="470" t="s">
        <v>737</v>
      </c>
      <c r="G213" s="467">
        <v>40809</v>
      </c>
      <c r="H213" s="467">
        <v>41043</v>
      </c>
      <c r="I213" s="467">
        <v>41043</v>
      </c>
    </row>
    <row r="214" spans="1:9" s="1" customFormat="1" ht="15.75" hidden="1" thickBot="1">
      <c r="A214" s="471"/>
      <c r="B214" s="471"/>
      <c r="C214" s="471"/>
      <c r="D214" s="471"/>
      <c r="E214" s="471"/>
      <c r="F214" s="471"/>
      <c r="G214" s="468"/>
      <c r="H214" s="468"/>
      <c r="I214" s="468"/>
    </row>
    <row r="215" spans="1:9" s="1" customFormat="1" ht="15.75" hidden="1" thickBot="1">
      <c r="A215" s="471"/>
      <c r="B215" s="471"/>
      <c r="C215" s="471"/>
      <c r="D215" s="471"/>
      <c r="E215" s="471"/>
      <c r="F215" s="471"/>
      <c r="G215" s="468"/>
      <c r="H215" s="468"/>
      <c r="I215" s="468"/>
    </row>
    <row r="216" spans="1:9" s="1" customFormat="1" ht="15.75" hidden="1" thickBot="1">
      <c r="A216" s="471"/>
      <c r="B216" s="471"/>
      <c r="C216" s="471"/>
      <c r="D216" s="471"/>
      <c r="E216" s="471"/>
      <c r="F216" s="471"/>
      <c r="G216" s="468"/>
      <c r="H216" s="468"/>
      <c r="I216" s="468"/>
    </row>
    <row r="217" spans="1:9">
      <c r="A217" s="470" t="s">
        <v>840</v>
      </c>
      <c r="B217" s="470" t="s">
        <v>729</v>
      </c>
      <c r="C217" s="470" t="s">
        <v>841</v>
      </c>
      <c r="D217" s="470" t="s">
        <v>731</v>
      </c>
      <c r="E217" s="470" t="s">
        <v>740</v>
      </c>
      <c r="F217" s="470" t="s">
        <v>737</v>
      </c>
      <c r="G217" s="467">
        <v>40812</v>
      </c>
      <c r="H217" s="467">
        <v>40858</v>
      </c>
      <c r="I217" s="467">
        <v>40858</v>
      </c>
    </row>
    <row r="218" spans="1:9" s="1" customFormat="1" ht="15.75" hidden="1" thickBot="1">
      <c r="A218" s="471"/>
      <c r="B218" s="471"/>
      <c r="C218" s="471"/>
      <c r="D218" s="471"/>
      <c r="E218" s="471"/>
      <c r="F218" s="471"/>
      <c r="G218" s="468"/>
      <c r="H218" s="468"/>
      <c r="I218" s="468"/>
    </row>
    <row r="219" spans="1:9" s="1" customFormat="1" ht="15.75" hidden="1" thickBot="1">
      <c r="A219" s="471"/>
      <c r="B219" s="471"/>
      <c r="C219" s="471"/>
      <c r="D219" s="471"/>
      <c r="E219" s="471"/>
      <c r="F219" s="471"/>
      <c r="G219" s="468"/>
      <c r="H219" s="468"/>
      <c r="I219" s="468"/>
    </row>
    <row r="220" spans="1:9" s="1" customFormat="1" ht="15.75" hidden="1" thickBot="1">
      <c r="A220" s="471"/>
      <c r="B220" s="471"/>
      <c r="C220" s="471"/>
      <c r="D220" s="471"/>
      <c r="E220" s="471"/>
      <c r="F220" s="471"/>
      <c r="G220" s="468"/>
      <c r="H220" s="468"/>
      <c r="I220" s="468"/>
    </row>
    <row r="221" spans="1:9">
      <c r="A221" s="470" t="s">
        <v>842</v>
      </c>
      <c r="B221" s="470" t="s">
        <v>729</v>
      </c>
      <c r="C221" s="470" t="s">
        <v>830</v>
      </c>
      <c r="D221" s="470" t="s">
        <v>731</v>
      </c>
      <c r="E221" s="470" t="s">
        <v>393</v>
      </c>
      <c r="F221" s="470" t="s">
        <v>737</v>
      </c>
      <c r="G221" s="467">
        <v>40814</v>
      </c>
      <c r="H221" s="467">
        <v>40858</v>
      </c>
      <c r="I221" s="467">
        <v>40858</v>
      </c>
    </row>
    <row r="222" spans="1:9" s="1" customFormat="1" ht="15.75" hidden="1" thickBot="1">
      <c r="A222" s="471"/>
      <c r="B222" s="471"/>
      <c r="C222" s="471"/>
      <c r="D222" s="471"/>
      <c r="E222" s="471"/>
      <c r="F222" s="471"/>
      <c r="G222" s="468"/>
      <c r="H222" s="468"/>
      <c r="I222" s="468"/>
    </row>
    <row r="223" spans="1:9" s="1" customFormat="1" ht="15.75" hidden="1" thickBot="1">
      <c r="A223" s="471"/>
      <c r="B223" s="471"/>
      <c r="C223" s="471"/>
      <c r="D223" s="471"/>
      <c r="E223" s="471"/>
      <c r="F223" s="471"/>
      <c r="G223" s="468"/>
      <c r="H223" s="468"/>
      <c r="I223" s="468"/>
    </row>
    <row r="224" spans="1:9" s="1" customFormat="1" ht="15.75" hidden="1" thickBot="1">
      <c r="A224" s="472"/>
      <c r="B224" s="472"/>
      <c r="C224" s="472"/>
      <c r="D224" s="472"/>
      <c r="E224" s="472"/>
      <c r="F224" s="472"/>
      <c r="G224" s="469"/>
      <c r="H224" s="469"/>
      <c r="I224" s="469"/>
    </row>
    <row r="225" spans="1:9" s="1" customFormat="1" ht="15.75" hidden="1" thickBot="1">
      <c r="A225" s="474" t="s">
        <v>843</v>
      </c>
      <c r="B225" s="474" t="s">
        <v>729</v>
      </c>
      <c r="C225" s="474" t="s">
        <v>844</v>
      </c>
      <c r="D225" s="474" t="s">
        <v>731</v>
      </c>
      <c r="E225" s="474" t="s">
        <v>762</v>
      </c>
      <c r="F225" s="474" t="s">
        <v>737</v>
      </c>
      <c r="G225" s="473">
        <v>40815</v>
      </c>
      <c r="H225" s="473">
        <v>40890</v>
      </c>
      <c r="I225" s="473">
        <v>40890</v>
      </c>
    </row>
    <row r="226" spans="1:9" s="1" customFormat="1" ht="15.75" hidden="1" thickBot="1">
      <c r="A226" s="471"/>
      <c r="B226" s="471"/>
      <c r="C226" s="471"/>
      <c r="D226" s="471"/>
      <c r="E226" s="471"/>
      <c r="F226" s="471"/>
      <c r="G226" s="468"/>
      <c r="H226" s="468"/>
      <c r="I226" s="468"/>
    </row>
    <row r="227" spans="1:9" s="1" customFormat="1" ht="15.75" hidden="1" thickBot="1">
      <c r="A227" s="471"/>
      <c r="B227" s="471"/>
      <c r="C227" s="471"/>
      <c r="D227" s="471"/>
      <c r="E227" s="471"/>
      <c r="F227" s="471"/>
      <c r="G227" s="468"/>
      <c r="H227" s="468"/>
      <c r="I227" s="468"/>
    </row>
    <row r="228" spans="1:9" s="1" customFormat="1" ht="15.75" hidden="1" thickBot="1">
      <c r="A228" s="472"/>
      <c r="B228" s="472"/>
      <c r="C228" s="472"/>
      <c r="D228" s="472"/>
      <c r="E228" s="472"/>
      <c r="F228" s="472"/>
      <c r="G228" s="469"/>
      <c r="H228" s="469"/>
      <c r="I228" s="469"/>
    </row>
    <row r="229" spans="1:9" s="1" customFormat="1" ht="15.75" hidden="1" thickBot="1">
      <c r="A229" s="474" t="s">
        <v>845</v>
      </c>
      <c r="B229" s="474" t="s">
        <v>729</v>
      </c>
      <c r="C229" s="474" t="s">
        <v>846</v>
      </c>
      <c r="D229" s="474" t="s">
        <v>731</v>
      </c>
      <c r="E229" s="474" t="s">
        <v>749</v>
      </c>
      <c r="F229" s="474" t="s">
        <v>737</v>
      </c>
      <c r="G229" s="473">
        <v>40827</v>
      </c>
      <c r="H229" s="473">
        <v>40864</v>
      </c>
      <c r="I229" s="473">
        <v>40864</v>
      </c>
    </row>
    <row r="230" spans="1:9" s="1" customFormat="1" ht="15.75" hidden="1" thickBot="1">
      <c r="A230" s="471"/>
      <c r="B230" s="471"/>
      <c r="C230" s="471"/>
      <c r="D230" s="471"/>
      <c r="E230" s="471"/>
      <c r="F230" s="471"/>
      <c r="G230" s="468"/>
      <c r="H230" s="468"/>
      <c r="I230" s="468"/>
    </row>
    <row r="231" spans="1:9" s="1" customFormat="1" ht="15.75" hidden="1" thickBot="1">
      <c r="A231" s="471"/>
      <c r="B231" s="471"/>
      <c r="C231" s="471"/>
      <c r="D231" s="471"/>
      <c r="E231" s="471"/>
      <c r="F231" s="471"/>
      <c r="G231" s="468"/>
      <c r="H231" s="468"/>
      <c r="I231" s="468"/>
    </row>
    <row r="232" spans="1:9" s="1" customFormat="1" ht="15.75" hidden="1" thickBot="1">
      <c r="A232" s="472"/>
      <c r="B232" s="472"/>
      <c r="C232" s="472"/>
      <c r="D232" s="472"/>
      <c r="E232" s="472"/>
      <c r="F232" s="472"/>
      <c r="G232" s="469"/>
      <c r="H232" s="469"/>
      <c r="I232" s="469"/>
    </row>
    <row r="233" spans="1:9" s="1" customFormat="1" ht="15.75" hidden="1" thickBot="1">
      <c r="A233" s="474" t="s">
        <v>847</v>
      </c>
      <c r="B233" s="474" t="s">
        <v>729</v>
      </c>
      <c r="C233" s="474" t="s">
        <v>848</v>
      </c>
      <c r="D233" s="474" t="s">
        <v>731</v>
      </c>
      <c r="E233" s="474" t="s">
        <v>749</v>
      </c>
      <c r="F233" s="474" t="s">
        <v>737</v>
      </c>
      <c r="G233" s="473">
        <v>40828</v>
      </c>
      <c r="H233" s="473">
        <v>40898</v>
      </c>
      <c r="I233" s="473">
        <v>40898</v>
      </c>
    </row>
    <row r="234" spans="1:9" s="1" customFormat="1" ht="15.75" hidden="1" thickBot="1">
      <c r="A234" s="471"/>
      <c r="B234" s="471"/>
      <c r="C234" s="471"/>
      <c r="D234" s="471"/>
      <c r="E234" s="471"/>
      <c r="F234" s="471"/>
      <c r="G234" s="468"/>
      <c r="H234" s="468"/>
      <c r="I234" s="468"/>
    </row>
    <row r="235" spans="1:9" s="1" customFormat="1" ht="15.75" hidden="1" thickBot="1">
      <c r="A235" s="471"/>
      <c r="B235" s="471"/>
      <c r="C235" s="471"/>
      <c r="D235" s="471"/>
      <c r="E235" s="471"/>
      <c r="F235" s="471"/>
      <c r="G235" s="468"/>
      <c r="H235" s="468"/>
      <c r="I235" s="468"/>
    </row>
    <row r="236" spans="1:9" s="1" customFormat="1" ht="15.75" hidden="1" thickBot="1">
      <c r="A236" s="471"/>
      <c r="B236" s="471"/>
      <c r="C236" s="471"/>
      <c r="D236" s="471"/>
      <c r="E236" s="471"/>
      <c r="F236" s="471"/>
      <c r="G236" s="468"/>
      <c r="H236" s="468"/>
      <c r="I236" s="468"/>
    </row>
    <row r="237" spans="1:9">
      <c r="A237" s="470" t="s">
        <v>849</v>
      </c>
      <c r="B237" s="470" t="s">
        <v>729</v>
      </c>
      <c r="C237" s="470" t="s">
        <v>850</v>
      </c>
      <c r="D237" s="470" t="s">
        <v>731</v>
      </c>
      <c r="E237" s="470" t="s">
        <v>740</v>
      </c>
      <c r="F237" s="470" t="s">
        <v>737</v>
      </c>
      <c r="G237" s="467">
        <v>40830</v>
      </c>
      <c r="H237" s="467">
        <v>40896</v>
      </c>
      <c r="I237" s="467">
        <v>40896</v>
      </c>
    </row>
    <row r="238" spans="1:9" s="1" customFormat="1" ht="15.75" hidden="1" thickBot="1">
      <c r="A238" s="471"/>
      <c r="B238" s="471"/>
      <c r="C238" s="471"/>
      <c r="D238" s="471"/>
      <c r="E238" s="471"/>
      <c r="F238" s="471"/>
      <c r="G238" s="468"/>
      <c r="H238" s="468"/>
      <c r="I238" s="468"/>
    </row>
    <row r="239" spans="1:9" s="1" customFormat="1" ht="15.75" hidden="1" thickBot="1">
      <c r="A239" s="471"/>
      <c r="B239" s="471"/>
      <c r="C239" s="471"/>
      <c r="D239" s="471"/>
      <c r="E239" s="471"/>
      <c r="F239" s="471"/>
      <c r="G239" s="468"/>
      <c r="H239" s="468"/>
      <c r="I239" s="468"/>
    </row>
    <row r="240" spans="1:9" s="1" customFormat="1" ht="15.75" hidden="1" thickBot="1">
      <c r="A240" s="471"/>
      <c r="B240" s="471"/>
      <c r="C240" s="471"/>
      <c r="D240" s="471"/>
      <c r="E240" s="471"/>
      <c r="F240" s="471"/>
      <c r="G240" s="468"/>
      <c r="H240" s="468"/>
      <c r="I240" s="468"/>
    </row>
    <row r="241" spans="1:9">
      <c r="A241" s="470" t="s">
        <v>851</v>
      </c>
      <c r="B241" s="470" t="s">
        <v>729</v>
      </c>
      <c r="C241" s="470" t="s">
        <v>852</v>
      </c>
      <c r="D241" s="470" t="s">
        <v>731</v>
      </c>
      <c r="E241" s="470" t="s">
        <v>740</v>
      </c>
      <c r="F241" s="470" t="s">
        <v>737</v>
      </c>
      <c r="G241" s="467">
        <v>40835</v>
      </c>
      <c r="H241" s="467">
        <v>40865</v>
      </c>
      <c r="I241" s="467">
        <v>40865</v>
      </c>
    </row>
    <row r="242" spans="1:9" s="1" customFormat="1" ht="15.75" hidden="1" thickBot="1">
      <c r="A242" s="471"/>
      <c r="B242" s="471"/>
      <c r="C242" s="471"/>
      <c r="D242" s="471"/>
      <c r="E242" s="471"/>
      <c r="F242" s="471"/>
      <c r="G242" s="468"/>
      <c r="H242" s="468"/>
      <c r="I242" s="468"/>
    </row>
    <row r="243" spans="1:9" s="1" customFormat="1" ht="15.75" hidden="1" thickBot="1">
      <c r="A243" s="471"/>
      <c r="B243" s="471"/>
      <c r="C243" s="471"/>
      <c r="D243" s="471"/>
      <c r="E243" s="471"/>
      <c r="F243" s="471"/>
      <c r="G243" s="468"/>
      <c r="H243" s="468"/>
      <c r="I243" s="468"/>
    </row>
    <row r="244" spans="1:9" s="1" customFormat="1" ht="15.75" hidden="1" thickBot="1">
      <c r="A244" s="471"/>
      <c r="B244" s="471"/>
      <c r="C244" s="471"/>
      <c r="D244" s="471"/>
      <c r="E244" s="471"/>
      <c r="F244" s="471"/>
      <c r="G244" s="468"/>
      <c r="H244" s="468"/>
      <c r="I244" s="468"/>
    </row>
    <row r="245" spans="1:9">
      <c r="A245" s="470" t="s">
        <v>853</v>
      </c>
      <c r="B245" s="470" t="s">
        <v>729</v>
      </c>
      <c r="C245" s="470" t="s">
        <v>854</v>
      </c>
      <c r="D245" s="470" t="s">
        <v>731</v>
      </c>
      <c r="E245" s="470" t="s">
        <v>740</v>
      </c>
      <c r="F245" s="470" t="s">
        <v>737</v>
      </c>
      <c r="G245" s="467">
        <v>40837</v>
      </c>
      <c r="H245" s="467">
        <v>40935</v>
      </c>
      <c r="I245" s="467">
        <v>40935</v>
      </c>
    </row>
    <row r="246" spans="1:9" s="1" customFormat="1" ht="15.75" hidden="1" thickBot="1">
      <c r="A246" s="471"/>
      <c r="B246" s="471"/>
      <c r="C246" s="471"/>
      <c r="D246" s="471"/>
      <c r="E246" s="471"/>
      <c r="F246" s="471"/>
      <c r="G246" s="468"/>
      <c r="H246" s="468"/>
      <c r="I246" s="468"/>
    </row>
    <row r="247" spans="1:9" s="1" customFormat="1" ht="15.75" hidden="1" thickBot="1">
      <c r="A247" s="471"/>
      <c r="B247" s="471"/>
      <c r="C247" s="471"/>
      <c r="D247" s="471"/>
      <c r="E247" s="471"/>
      <c r="F247" s="471"/>
      <c r="G247" s="468"/>
      <c r="H247" s="468"/>
      <c r="I247" s="468"/>
    </row>
    <row r="248" spans="1:9" s="1" customFormat="1" ht="15.75" hidden="1" thickBot="1">
      <c r="A248" s="471"/>
      <c r="B248" s="471"/>
      <c r="C248" s="471"/>
      <c r="D248" s="471"/>
      <c r="E248" s="471"/>
      <c r="F248" s="471"/>
      <c r="G248" s="468"/>
      <c r="H248" s="468"/>
      <c r="I248" s="468"/>
    </row>
    <row r="249" spans="1:9">
      <c r="A249" s="470" t="s">
        <v>855</v>
      </c>
      <c r="B249" s="470" t="s">
        <v>729</v>
      </c>
      <c r="C249" s="470" t="s">
        <v>856</v>
      </c>
      <c r="D249" s="470" t="s">
        <v>731</v>
      </c>
      <c r="E249" s="470" t="s">
        <v>393</v>
      </c>
      <c r="F249" s="470" t="s">
        <v>737</v>
      </c>
      <c r="G249" s="467">
        <v>40841</v>
      </c>
      <c r="H249" s="467">
        <v>40981</v>
      </c>
      <c r="I249" s="467">
        <v>40981</v>
      </c>
    </row>
    <row r="250" spans="1:9" s="1" customFormat="1" ht="15.75" hidden="1" thickBot="1">
      <c r="A250" s="471"/>
      <c r="B250" s="471"/>
      <c r="C250" s="471"/>
      <c r="D250" s="471"/>
      <c r="E250" s="471"/>
      <c r="F250" s="471"/>
      <c r="G250" s="468"/>
      <c r="H250" s="468"/>
      <c r="I250" s="468"/>
    </row>
    <row r="251" spans="1:9" s="1" customFormat="1" ht="15.75" hidden="1" thickBot="1">
      <c r="A251" s="471"/>
      <c r="B251" s="471"/>
      <c r="C251" s="471"/>
      <c r="D251" s="471"/>
      <c r="E251" s="471"/>
      <c r="F251" s="471"/>
      <c r="G251" s="468"/>
      <c r="H251" s="468"/>
      <c r="I251" s="468"/>
    </row>
    <row r="252" spans="1:9" s="1" customFormat="1" ht="15.75" hidden="1" thickBot="1">
      <c r="A252" s="471"/>
      <c r="B252" s="471"/>
      <c r="C252" s="471"/>
      <c r="D252" s="471"/>
      <c r="E252" s="471"/>
      <c r="F252" s="471"/>
      <c r="G252" s="468"/>
      <c r="H252" s="468"/>
      <c r="I252" s="468"/>
    </row>
    <row r="253" spans="1:9">
      <c r="A253" s="470" t="s">
        <v>857</v>
      </c>
      <c r="B253" s="470" t="s">
        <v>729</v>
      </c>
      <c r="C253" s="470" t="s">
        <v>858</v>
      </c>
      <c r="D253" s="470" t="s">
        <v>731</v>
      </c>
      <c r="E253" s="470" t="s">
        <v>756</v>
      </c>
      <c r="F253" s="470" t="s">
        <v>737</v>
      </c>
      <c r="G253" s="467">
        <v>40847</v>
      </c>
      <c r="H253" s="467">
        <v>40898</v>
      </c>
      <c r="I253" s="467">
        <v>40898</v>
      </c>
    </row>
    <row r="254" spans="1:9" s="1" customFormat="1" ht="15.75" hidden="1" thickBot="1">
      <c r="A254" s="471"/>
      <c r="B254" s="471"/>
      <c r="C254" s="471"/>
      <c r="D254" s="471"/>
      <c r="E254" s="471"/>
      <c r="F254" s="471"/>
      <c r="G254" s="468"/>
      <c r="H254" s="468"/>
      <c r="I254" s="468"/>
    </row>
    <row r="255" spans="1:9" s="1" customFormat="1" ht="15.75" hidden="1" thickBot="1">
      <c r="A255" s="471"/>
      <c r="B255" s="471"/>
      <c r="C255" s="471"/>
      <c r="D255" s="471"/>
      <c r="E255" s="471"/>
      <c r="F255" s="471"/>
      <c r="G255" s="468"/>
      <c r="H255" s="468"/>
      <c r="I255" s="468"/>
    </row>
    <row r="256" spans="1:9" s="1" customFormat="1" ht="15.75" hidden="1" thickBot="1">
      <c r="A256" s="471"/>
      <c r="B256" s="471"/>
      <c r="C256" s="471"/>
      <c r="D256" s="471"/>
      <c r="E256" s="471"/>
      <c r="F256" s="471"/>
      <c r="G256" s="468"/>
      <c r="H256" s="468"/>
      <c r="I256" s="468"/>
    </row>
    <row r="257" spans="1:9">
      <c r="A257" s="470" t="s">
        <v>859</v>
      </c>
      <c r="B257" s="470" t="s">
        <v>729</v>
      </c>
      <c r="C257" s="470" t="s">
        <v>860</v>
      </c>
      <c r="D257" s="470" t="s">
        <v>731</v>
      </c>
      <c r="E257" s="470" t="s">
        <v>740</v>
      </c>
      <c r="F257" s="470" t="s">
        <v>737</v>
      </c>
      <c r="G257" s="467">
        <v>40847</v>
      </c>
      <c r="H257" s="467">
        <v>40891</v>
      </c>
      <c r="I257" s="467">
        <v>40891</v>
      </c>
    </row>
    <row r="258" spans="1:9" s="1" customFormat="1" ht="15.75" hidden="1" thickBot="1">
      <c r="A258" s="471"/>
      <c r="B258" s="471"/>
      <c r="C258" s="471"/>
      <c r="D258" s="471"/>
      <c r="E258" s="471"/>
      <c r="F258" s="471"/>
      <c r="G258" s="468"/>
      <c r="H258" s="468"/>
      <c r="I258" s="468"/>
    </row>
    <row r="259" spans="1:9" s="1" customFormat="1" ht="15.75" hidden="1" thickBot="1">
      <c r="A259" s="471"/>
      <c r="B259" s="471"/>
      <c r="C259" s="471"/>
      <c r="D259" s="471"/>
      <c r="E259" s="471"/>
      <c r="F259" s="471"/>
      <c r="G259" s="468"/>
      <c r="H259" s="468"/>
      <c r="I259" s="468"/>
    </row>
    <row r="260" spans="1:9" s="1" customFormat="1" ht="15.75" hidden="1" thickBot="1">
      <c r="A260" s="471"/>
      <c r="B260" s="471"/>
      <c r="C260" s="471"/>
      <c r="D260" s="471"/>
      <c r="E260" s="471"/>
      <c r="F260" s="471"/>
      <c r="G260" s="468"/>
      <c r="H260" s="468"/>
      <c r="I260" s="468"/>
    </row>
    <row r="261" spans="1:9">
      <c r="A261" s="470" t="s">
        <v>861</v>
      </c>
      <c r="B261" s="470" t="s">
        <v>729</v>
      </c>
      <c r="C261" s="470" t="s">
        <v>862</v>
      </c>
      <c r="D261" s="470" t="s">
        <v>731</v>
      </c>
      <c r="E261" s="470" t="s">
        <v>740</v>
      </c>
      <c r="F261" s="470" t="s">
        <v>737</v>
      </c>
      <c r="G261" s="467">
        <v>40848</v>
      </c>
      <c r="H261" s="467">
        <v>40924</v>
      </c>
      <c r="I261" s="467">
        <v>40924</v>
      </c>
    </row>
    <row r="262" spans="1:9" s="1" customFormat="1" ht="15.75" hidden="1" thickBot="1">
      <c r="A262" s="471"/>
      <c r="B262" s="471"/>
      <c r="C262" s="471"/>
      <c r="D262" s="471"/>
      <c r="E262" s="471"/>
      <c r="F262" s="471"/>
      <c r="G262" s="468"/>
      <c r="H262" s="468"/>
      <c r="I262" s="468"/>
    </row>
    <row r="263" spans="1:9" s="1" customFormat="1" ht="15.75" hidden="1" thickBot="1">
      <c r="A263" s="471"/>
      <c r="B263" s="471"/>
      <c r="C263" s="471"/>
      <c r="D263" s="471"/>
      <c r="E263" s="471"/>
      <c r="F263" s="471"/>
      <c r="G263" s="468"/>
      <c r="H263" s="468"/>
      <c r="I263" s="468"/>
    </row>
    <row r="264" spans="1:9" s="1" customFormat="1" ht="15.75" hidden="1" thickBot="1">
      <c r="A264" s="472"/>
      <c r="B264" s="472"/>
      <c r="C264" s="472"/>
      <c r="D264" s="472"/>
      <c r="E264" s="472"/>
      <c r="F264" s="472"/>
      <c r="G264" s="469"/>
      <c r="H264" s="469"/>
      <c r="I264" s="469"/>
    </row>
    <row r="265" spans="1:9" s="1" customFormat="1" ht="15.75" hidden="1" thickBot="1">
      <c r="A265" s="474" t="s">
        <v>863</v>
      </c>
      <c r="B265" s="474" t="s">
        <v>729</v>
      </c>
      <c r="C265" s="474" t="s">
        <v>765</v>
      </c>
      <c r="D265" s="474" t="s">
        <v>731</v>
      </c>
      <c r="E265" s="474" t="s">
        <v>736</v>
      </c>
      <c r="F265" s="474" t="s">
        <v>737</v>
      </c>
      <c r="G265" s="473">
        <v>40849</v>
      </c>
      <c r="H265" s="473">
        <v>40973</v>
      </c>
      <c r="I265" s="473">
        <v>40973</v>
      </c>
    </row>
    <row r="266" spans="1:9" s="1" customFormat="1" ht="15.75" hidden="1" thickBot="1">
      <c r="A266" s="471"/>
      <c r="B266" s="471"/>
      <c r="C266" s="471"/>
      <c r="D266" s="471"/>
      <c r="E266" s="471"/>
      <c r="F266" s="471"/>
      <c r="G266" s="468"/>
      <c r="H266" s="468"/>
      <c r="I266" s="468"/>
    </row>
    <row r="267" spans="1:9" s="1" customFormat="1" ht="15.75" hidden="1" thickBot="1">
      <c r="A267" s="471"/>
      <c r="B267" s="471"/>
      <c r="C267" s="471"/>
      <c r="D267" s="471"/>
      <c r="E267" s="471"/>
      <c r="F267" s="471"/>
      <c r="G267" s="468"/>
      <c r="H267" s="468"/>
      <c r="I267" s="468"/>
    </row>
    <row r="268" spans="1:9" s="1" customFormat="1" ht="15.75" hidden="1" thickBot="1">
      <c r="A268" s="472"/>
      <c r="B268" s="472"/>
      <c r="C268" s="472"/>
      <c r="D268" s="472"/>
      <c r="E268" s="472"/>
      <c r="F268" s="472"/>
      <c r="G268" s="469"/>
      <c r="H268" s="469"/>
      <c r="I268" s="469"/>
    </row>
    <row r="269" spans="1:9" s="1" customFormat="1" ht="15.75" hidden="1" thickBot="1">
      <c r="A269" s="474" t="s">
        <v>864</v>
      </c>
      <c r="B269" s="474" t="s">
        <v>729</v>
      </c>
      <c r="C269" s="474" t="s">
        <v>865</v>
      </c>
      <c r="D269" s="474" t="s">
        <v>731</v>
      </c>
      <c r="E269" s="474" t="s">
        <v>736</v>
      </c>
      <c r="F269" s="474" t="s">
        <v>737</v>
      </c>
      <c r="G269" s="473">
        <v>40849</v>
      </c>
      <c r="H269" s="473">
        <v>41060</v>
      </c>
      <c r="I269" s="473">
        <v>41060</v>
      </c>
    </row>
    <row r="270" spans="1:9" s="1" customFormat="1" ht="15.75" hidden="1" thickBot="1">
      <c r="A270" s="471"/>
      <c r="B270" s="471"/>
      <c r="C270" s="471"/>
      <c r="D270" s="471"/>
      <c r="E270" s="471"/>
      <c r="F270" s="471"/>
      <c r="G270" s="468"/>
      <c r="H270" s="468"/>
      <c r="I270" s="468"/>
    </row>
    <row r="271" spans="1:9" s="1" customFormat="1" ht="15.75" hidden="1" thickBot="1">
      <c r="A271" s="471"/>
      <c r="B271" s="471"/>
      <c r="C271" s="471"/>
      <c r="D271" s="471"/>
      <c r="E271" s="471"/>
      <c r="F271" s="471"/>
      <c r="G271" s="468"/>
      <c r="H271" s="468"/>
      <c r="I271" s="468"/>
    </row>
    <row r="272" spans="1:9" s="1" customFormat="1" ht="15.75" hidden="1" thickBot="1">
      <c r="A272" s="471"/>
      <c r="B272" s="471"/>
      <c r="C272" s="471"/>
      <c r="D272" s="471"/>
      <c r="E272" s="471"/>
      <c r="F272" s="471"/>
      <c r="G272" s="468"/>
      <c r="H272" s="468"/>
      <c r="I272" s="468"/>
    </row>
    <row r="273" spans="1:9">
      <c r="A273" s="470" t="s">
        <v>866</v>
      </c>
      <c r="B273" s="470" t="s">
        <v>729</v>
      </c>
      <c r="C273" s="470" t="s">
        <v>867</v>
      </c>
      <c r="D273" s="365" t="s">
        <v>731</v>
      </c>
      <c r="E273" s="470" t="s">
        <v>740</v>
      </c>
      <c r="F273" s="470" t="s">
        <v>737</v>
      </c>
      <c r="G273" s="467">
        <v>40862</v>
      </c>
      <c r="H273" s="467">
        <v>41058</v>
      </c>
      <c r="I273" s="467">
        <v>41058</v>
      </c>
    </row>
    <row r="274" spans="1:9" s="1" customFormat="1" ht="15.75" hidden="1" thickBot="1">
      <c r="A274" s="471"/>
      <c r="B274" s="471"/>
      <c r="C274" s="471"/>
      <c r="D274" s="55" t="s">
        <v>791</v>
      </c>
      <c r="E274" s="471"/>
      <c r="F274" s="471"/>
      <c r="G274" s="468"/>
      <c r="H274" s="468"/>
      <c r="I274" s="468"/>
    </row>
    <row r="275" spans="1:9" s="1" customFormat="1" ht="15.75" hidden="1" thickBot="1">
      <c r="A275" s="471"/>
      <c r="B275" s="471"/>
      <c r="C275" s="471"/>
      <c r="D275" s="55" t="s">
        <v>792</v>
      </c>
      <c r="E275" s="471"/>
      <c r="F275" s="471"/>
      <c r="G275" s="468"/>
      <c r="H275" s="468"/>
      <c r="I275" s="468"/>
    </row>
    <row r="276" spans="1:9" s="1" customFormat="1" ht="15.75" hidden="1" thickBot="1">
      <c r="A276" s="471"/>
      <c r="B276" s="471"/>
      <c r="C276" s="471"/>
      <c r="D276" s="77"/>
      <c r="E276" s="471"/>
      <c r="F276" s="471"/>
      <c r="G276" s="468"/>
      <c r="H276" s="468"/>
      <c r="I276" s="468"/>
    </row>
    <row r="277" spans="1:9">
      <c r="A277" s="470" t="s">
        <v>868</v>
      </c>
      <c r="B277" s="470" t="s">
        <v>729</v>
      </c>
      <c r="C277" s="470" t="s">
        <v>869</v>
      </c>
      <c r="D277" s="470" t="s">
        <v>731</v>
      </c>
      <c r="E277" s="470" t="s">
        <v>740</v>
      </c>
      <c r="F277" s="470" t="s">
        <v>737</v>
      </c>
      <c r="G277" s="467">
        <v>40862</v>
      </c>
      <c r="H277" s="467">
        <v>40942</v>
      </c>
      <c r="I277" s="467">
        <v>40942</v>
      </c>
    </row>
    <row r="278" spans="1:9" s="1" customFormat="1" ht="15.75" hidden="1" thickBot="1">
      <c r="A278" s="471"/>
      <c r="B278" s="471"/>
      <c r="C278" s="471"/>
      <c r="D278" s="471"/>
      <c r="E278" s="471"/>
      <c r="F278" s="471"/>
      <c r="G278" s="468"/>
      <c r="H278" s="468"/>
      <c r="I278" s="468"/>
    </row>
    <row r="279" spans="1:9" s="1" customFormat="1" ht="15.75" hidden="1" thickBot="1">
      <c r="A279" s="471"/>
      <c r="B279" s="471"/>
      <c r="C279" s="471"/>
      <c r="D279" s="471"/>
      <c r="E279" s="471"/>
      <c r="F279" s="471"/>
      <c r="G279" s="468"/>
      <c r="H279" s="468"/>
      <c r="I279" s="468"/>
    </row>
    <row r="280" spans="1:9" s="1" customFormat="1" ht="15.75" hidden="1" thickBot="1">
      <c r="A280" s="471"/>
      <c r="B280" s="471"/>
      <c r="C280" s="471"/>
      <c r="D280" s="471"/>
      <c r="E280" s="471"/>
      <c r="F280" s="471"/>
      <c r="G280" s="468"/>
      <c r="H280" s="468"/>
      <c r="I280" s="468"/>
    </row>
    <row r="281" spans="1:9">
      <c r="A281" s="470" t="s">
        <v>870</v>
      </c>
      <c r="B281" s="470" t="s">
        <v>729</v>
      </c>
      <c r="C281" s="470" t="s">
        <v>871</v>
      </c>
      <c r="D281" s="470" t="s">
        <v>731</v>
      </c>
      <c r="E281" s="470" t="s">
        <v>393</v>
      </c>
      <c r="F281" s="470" t="s">
        <v>737</v>
      </c>
      <c r="G281" s="467">
        <v>40865</v>
      </c>
      <c r="H281" s="467">
        <v>40973</v>
      </c>
      <c r="I281" s="467">
        <v>40973</v>
      </c>
    </row>
    <row r="282" spans="1:9" s="1" customFormat="1" ht="15.75" hidden="1" thickBot="1">
      <c r="A282" s="471"/>
      <c r="B282" s="471"/>
      <c r="C282" s="471"/>
      <c r="D282" s="471"/>
      <c r="E282" s="471"/>
      <c r="F282" s="471"/>
      <c r="G282" s="468"/>
      <c r="H282" s="468"/>
      <c r="I282" s="468"/>
    </row>
    <row r="283" spans="1:9" s="1" customFormat="1" ht="15.75" hidden="1" thickBot="1">
      <c r="A283" s="471"/>
      <c r="B283" s="471"/>
      <c r="C283" s="471"/>
      <c r="D283" s="471"/>
      <c r="E283" s="471"/>
      <c r="F283" s="471"/>
      <c r="G283" s="468"/>
      <c r="H283" s="468"/>
      <c r="I283" s="468"/>
    </row>
    <row r="284" spans="1:9" s="1" customFormat="1" ht="15.75" hidden="1" thickBot="1">
      <c r="A284" s="471"/>
      <c r="B284" s="471"/>
      <c r="C284" s="471"/>
      <c r="D284" s="471"/>
      <c r="E284" s="471"/>
      <c r="F284" s="471"/>
      <c r="G284" s="468"/>
      <c r="H284" s="468"/>
      <c r="I284" s="468"/>
    </row>
    <row r="285" spans="1:9">
      <c r="A285" s="470" t="s">
        <v>872</v>
      </c>
      <c r="B285" s="470" t="s">
        <v>729</v>
      </c>
      <c r="C285" s="470" t="s">
        <v>873</v>
      </c>
      <c r="D285" s="470" t="s">
        <v>731</v>
      </c>
      <c r="E285" s="470" t="s">
        <v>740</v>
      </c>
      <c r="F285" s="470" t="s">
        <v>737</v>
      </c>
      <c r="G285" s="467">
        <v>40871</v>
      </c>
      <c r="H285" s="467">
        <v>41011</v>
      </c>
      <c r="I285" s="467">
        <v>41011</v>
      </c>
    </row>
    <row r="286" spans="1:9" s="1" customFormat="1" ht="15.75" hidden="1" thickBot="1">
      <c r="A286" s="471"/>
      <c r="B286" s="471"/>
      <c r="C286" s="471"/>
      <c r="D286" s="471"/>
      <c r="E286" s="471"/>
      <c r="F286" s="471"/>
      <c r="G286" s="468"/>
      <c r="H286" s="468"/>
      <c r="I286" s="468"/>
    </row>
    <row r="287" spans="1:9" s="1" customFormat="1" ht="15.75" hidden="1" thickBot="1">
      <c r="A287" s="471"/>
      <c r="B287" s="471"/>
      <c r="C287" s="471"/>
      <c r="D287" s="471"/>
      <c r="E287" s="471"/>
      <c r="F287" s="471"/>
      <c r="G287" s="468"/>
      <c r="H287" s="468"/>
      <c r="I287" s="468"/>
    </row>
    <row r="288" spans="1:9" s="1" customFormat="1" ht="15.75" hidden="1" thickBot="1">
      <c r="A288" s="471"/>
      <c r="B288" s="471"/>
      <c r="C288" s="471"/>
      <c r="D288" s="471"/>
      <c r="E288" s="471"/>
      <c r="F288" s="471"/>
      <c r="G288" s="468"/>
      <c r="H288" s="468"/>
      <c r="I288" s="468"/>
    </row>
    <row r="289" spans="1:9">
      <c r="A289" s="470" t="s">
        <v>874</v>
      </c>
      <c r="B289" s="470" t="s">
        <v>729</v>
      </c>
      <c r="C289" s="470" t="s">
        <v>875</v>
      </c>
      <c r="D289" s="470" t="s">
        <v>731</v>
      </c>
      <c r="E289" s="470" t="s">
        <v>740</v>
      </c>
      <c r="F289" s="470" t="s">
        <v>737</v>
      </c>
      <c r="G289" s="467">
        <v>40872</v>
      </c>
      <c r="H289" s="467">
        <v>40949</v>
      </c>
      <c r="I289" s="467">
        <v>40949</v>
      </c>
    </row>
    <row r="290" spans="1:9" s="1" customFormat="1" ht="15.75" hidden="1" thickBot="1">
      <c r="A290" s="471"/>
      <c r="B290" s="471"/>
      <c r="C290" s="471"/>
      <c r="D290" s="471"/>
      <c r="E290" s="471"/>
      <c r="F290" s="471"/>
      <c r="G290" s="468"/>
      <c r="H290" s="468"/>
      <c r="I290" s="468"/>
    </row>
    <row r="291" spans="1:9" s="1" customFormat="1" ht="15.75" hidden="1" thickBot="1">
      <c r="A291" s="471"/>
      <c r="B291" s="471"/>
      <c r="C291" s="471"/>
      <c r="D291" s="471"/>
      <c r="E291" s="471"/>
      <c r="F291" s="471"/>
      <c r="G291" s="468"/>
      <c r="H291" s="468"/>
      <c r="I291" s="468"/>
    </row>
    <row r="292" spans="1:9" s="1" customFormat="1" ht="15.75" hidden="1" thickBot="1">
      <c r="A292" s="471"/>
      <c r="B292" s="471"/>
      <c r="C292" s="471"/>
      <c r="D292" s="471"/>
      <c r="E292" s="471"/>
      <c r="F292" s="471"/>
      <c r="G292" s="468"/>
      <c r="H292" s="468"/>
      <c r="I292" s="468"/>
    </row>
    <row r="293" spans="1:9">
      <c r="A293" s="470" t="s">
        <v>876</v>
      </c>
      <c r="B293" s="470" t="s">
        <v>729</v>
      </c>
      <c r="C293" s="470" t="s">
        <v>779</v>
      </c>
      <c r="D293" s="470" t="s">
        <v>731</v>
      </c>
      <c r="E293" s="470" t="s">
        <v>740</v>
      </c>
      <c r="F293" s="470" t="s">
        <v>737</v>
      </c>
      <c r="G293" s="467">
        <v>40876</v>
      </c>
      <c r="H293" s="467">
        <v>40953</v>
      </c>
      <c r="I293" s="467">
        <v>40953</v>
      </c>
    </row>
    <row r="294" spans="1:9" s="1" customFormat="1" ht="15.75" hidden="1" thickBot="1">
      <c r="A294" s="471"/>
      <c r="B294" s="471"/>
      <c r="C294" s="471"/>
      <c r="D294" s="471"/>
      <c r="E294" s="471"/>
      <c r="F294" s="471"/>
      <c r="G294" s="468"/>
      <c r="H294" s="468"/>
      <c r="I294" s="468"/>
    </row>
    <row r="295" spans="1:9" s="1" customFormat="1" ht="15.75" hidden="1" thickBot="1">
      <c r="A295" s="471"/>
      <c r="B295" s="471"/>
      <c r="C295" s="471"/>
      <c r="D295" s="471"/>
      <c r="E295" s="471"/>
      <c r="F295" s="471"/>
      <c r="G295" s="468"/>
      <c r="H295" s="468"/>
      <c r="I295" s="468"/>
    </row>
    <row r="296" spans="1:9" s="1" customFormat="1" ht="15.75" hidden="1" thickBot="1">
      <c r="A296" s="472"/>
      <c r="B296" s="472"/>
      <c r="C296" s="472"/>
      <c r="D296" s="472"/>
      <c r="E296" s="472"/>
      <c r="F296" s="472"/>
      <c r="G296" s="469"/>
      <c r="H296" s="469"/>
      <c r="I296" s="469"/>
    </row>
    <row r="297" spans="1:9" s="1" customFormat="1" ht="15.75" hidden="1" thickBot="1">
      <c r="A297" s="474" t="s">
        <v>877</v>
      </c>
      <c r="B297" s="474" t="s">
        <v>729</v>
      </c>
      <c r="C297" s="474" t="s">
        <v>878</v>
      </c>
      <c r="D297" s="474" t="s">
        <v>731</v>
      </c>
      <c r="E297" s="474" t="s">
        <v>736</v>
      </c>
      <c r="F297" s="474" t="s">
        <v>737</v>
      </c>
      <c r="G297" s="473">
        <v>40877</v>
      </c>
      <c r="H297" s="473">
        <v>40980</v>
      </c>
      <c r="I297" s="473">
        <v>40980</v>
      </c>
    </row>
    <row r="298" spans="1:9" s="1" customFormat="1" ht="15.75" hidden="1" thickBot="1">
      <c r="A298" s="471"/>
      <c r="B298" s="471"/>
      <c r="C298" s="471"/>
      <c r="D298" s="471"/>
      <c r="E298" s="471"/>
      <c r="F298" s="471"/>
      <c r="G298" s="468"/>
      <c r="H298" s="468"/>
      <c r="I298" s="468"/>
    </row>
    <row r="299" spans="1:9" s="1" customFormat="1" ht="15.75" hidden="1" thickBot="1">
      <c r="A299" s="471"/>
      <c r="B299" s="471"/>
      <c r="C299" s="471"/>
      <c r="D299" s="471"/>
      <c r="E299" s="471"/>
      <c r="F299" s="471"/>
      <c r="G299" s="468"/>
      <c r="H299" s="468"/>
      <c r="I299" s="468"/>
    </row>
    <row r="300" spans="1:9" s="1" customFormat="1" ht="15.75" hidden="1" thickBot="1">
      <c r="A300" s="472"/>
      <c r="B300" s="472"/>
      <c r="C300" s="472"/>
      <c r="D300" s="472"/>
      <c r="E300" s="472"/>
      <c r="F300" s="472"/>
      <c r="G300" s="469"/>
      <c r="H300" s="469"/>
      <c r="I300" s="469"/>
    </row>
    <row r="301" spans="1:9" s="1" customFormat="1" ht="15.75" hidden="1" thickBot="1">
      <c r="A301" s="474" t="s">
        <v>879</v>
      </c>
      <c r="B301" s="474" t="s">
        <v>729</v>
      </c>
      <c r="C301" s="474" t="s">
        <v>779</v>
      </c>
      <c r="D301" s="474" t="s">
        <v>731</v>
      </c>
      <c r="E301" s="474" t="s">
        <v>749</v>
      </c>
      <c r="F301" s="474" t="s">
        <v>737</v>
      </c>
      <c r="G301" s="473">
        <v>40877</v>
      </c>
      <c r="H301" s="473">
        <v>40970</v>
      </c>
      <c r="I301" s="473">
        <v>40970</v>
      </c>
    </row>
    <row r="302" spans="1:9" s="1" customFormat="1" ht="15.75" hidden="1" thickBot="1">
      <c r="A302" s="471"/>
      <c r="B302" s="471"/>
      <c r="C302" s="471"/>
      <c r="D302" s="471"/>
      <c r="E302" s="471"/>
      <c r="F302" s="471"/>
      <c r="G302" s="468"/>
      <c r="H302" s="468"/>
      <c r="I302" s="468"/>
    </row>
    <row r="303" spans="1:9" s="1" customFormat="1" ht="15.75" hidden="1" thickBot="1">
      <c r="A303" s="471"/>
      <c r="B303" s="471"/>
      <c r="C303" s="471"/>
      <c r="D303" s="471"/>
      <c r="E303" s="471"/>
      <c r="F303" s="471"/>
      <c r="G303" s="468"/>
      <c r="H303" s="468"/>
      <c r="I303" s="468"/>
    </row>
    <row r="304" spans="1:9" s="1" customFormat="1" ht="15.75" hidden="1" thickBot="1">
      <c r="A304" s="472"/>
      <c r="B304" s="472"/>
      <c r="C304" s="472"/>
      <c r="D304" s="472"/>
      <c r="E304" s="472"/>
      <c r="F304" s="472"/>
      <c r="G304" s="469"/>
      <c r="H304" s="469"/>
      <c r="I304" s="469"/>
    </row>
    <row r="305" spans="1:9" s="1" customFormat="1" ht="15.75" hidden="1" thickBot="1">
      <c r="A305" s="474" t="s">
        <v>880</v>
      </c>
      <c r="B305" s="474" t="s">
        <v>729</v>
      </c>
      <c r="C305" s="474" t="s">
        <v>881</v>
      </c>
      <c r="D305" s="474" t="s">
        <v>731</v>
      </c>
      <c r="E305" s="474" t="s">
        <v>749</v>
      </c>
      <c r="F305" s="474" t="s">
        <v>737</v>
      </c>
      <c r="G305" s="473">
        <v>40878</v>
      </c>
      <c r="H305" s="473">
        <v>40939</v>
      </c>
      <c r="I305" s="473">
        <v>40939</v>
      </c>
    </row>
    <row r="306" spans="1:9" s="1" customFormat="1" ht="15.75" hidden="1" thickBot="1">
      <c r="A306" s="471"/>
      <c r="B306" s="471"/>
      <c r="C306" s="471"/>
      <c r="D306" s="471"/>
      <c r="E306" s="471"/>
      <c r="F306" s="471"/>
      <c r="G306" s="468"/>
      <c r="H306" s="468"/>
      <c r="I306" s="468"/>
    </row>
    <row r="307" spans="1:9" s="1" customFormat="1" ht="15.75" hidden="1" thickBot="1">
      <c r="A307" s="471"/>
      <c r="B307" s="471"/>
      <c r="C307" s="471"/>
      <c r="D307" s="471"/>
      <c r="E307" s="471"/>
      <c r="F307" s="471"/>
      <c r="G307" s="468"/>
      <c r="H307" s="468"/>
      <c r="I307" s="468"/>
    </row>
    <row r="308" spans="1:9" s="1" customFormat="1" ht="15.75" hidden="1" thickBot="1">
      <c r="A308" s="471"/>
      <c r="B308" s="471"/>
      <c r="C308" s="471"/>
      <c r="D308" s="471"/>
      <c r="E308" s="471"/>
      <c r="F308" s="471"/>
      <c r="G308" s="468"/>
      <c r="H308" s="468"/>
      <c r="I308" s="468"/>
    </row>
    <row r="309" spans="1:9">
      <c r="A309" s="470" t="s">
        <v>882</v>
      </c>
      <c r="B309" s="470" t="s">
        <v>729</v>
      </c>
      <c r="C309" s="470" t="s">
        <v>883</v>
      </c>
      <c r="D309" s="470" t="s">
        <v>731</v>
      </c>
      <c r="E309" s="470" t="s">
        <v>393</v>
      </c>
      <c r="F309" s="470" t="s">
        <v>737</v>
      </c>
      <c r="G309" s="467">
        <v>40889</v>
      </c>
      <c r="H309" s="467">
        <v>40981</v>
      </c>
      <c r="I309" s="467">
        <v>40981</v>
      </c>
    </row>
    <row r="310" spans="1:9" s="1" customFormat="1" ht="15.75" hidden="1" thickBot="1">
      <c r="A310" s="471"/>
      <c r="B310" s="471"/>
      <c r="C310" s="471"/>
      <c r="D310" s="471"/>
      <c r="E310" s="471"/>
      <c r="F310" s="471"/>
      <c r="G310" s="468"/>
      <c r="H310" s="468"/>
      <c r="I310" s="468"/>
    </row>
    <row r="311" spans="1:9" s="1" customFormat="1" ht="15.75" hidden="1" thickBot="1">
      <c r="A311" s="471"/>
      <c r="B311" s="471"/>
      <c r="C311" s="471"/>
      <c r="D311" s="471"/>
      <c r="E311" s="471"/>
      <c r="F311" s="471"/>
      <c r="G311" s="468"/>
      <c r="H311" s="468"/>
      <c r="I311" s="468"/>
    </row>
    <row r="312" spans="1:9" s="1" customFormat="1" ht="15.75" hidden="1" thickBot="1">
      <c r="A312" s="472"/>
      <c r="B312" s="472"/>
      <c r="C312" s="472"/>
      <c r="D312" s="472"/>
      <c r="E312" s="472"/>
      <c r="F312" s="472"/>
      <c r="G312" s="469"/>
      <c r="H312" s="469"/>
      <c r="I312" s="469"/>
    </row>
    <row r="313" spans="1:9" s="1" customFormat="1" ht="15.75" hidden="1" thickBot="1">
      <c r="A313" s="474" t="s">
        <v>884</v>
      </c>
      <c r="B313" s="474" t="s">
        <v>729</v>
      </c>
      <c r="C313" s="474" t="s">
        <v>885</v>
      </c>
      <c r="D313" s="54" t="s">
        <v>731</v>
      </c>
      <c r="E313" s="474" t="s">
        <v>732</v>
      </c>
      <c r="F313" s="474" t="s">
        <v>733</v>
      </c>
      <c r="G313" s="473">
        <v>40891</v>
      </c>
      <c r="H313" s="474"/>
      <c r="I313" s="474"/>
    </row>
    <row r="314" spans="1:9" s="1" customFormat="1" ht="15.75" hidden="1" thickBot="1">
      <c r="A314" s="471"/>
      <c r="B314" s="471"/>
      <c r="C314" s="471"/>
      <c r="D314" s="55" t="s">
        <v>791</v>
      </c>
      <c r="E314" s="471"/>
      <c r="F314" s="471"/>
      <c r="G314" s="468"/>
      <c r="H314" s="471"/>
      <c r="I314" s="471"/>
    </row>
    <row r="315" spans="1:9" s="1" customFormat="1" ht="15.75" hidden="1" thickBot="1">
      <c r="A315" s="471"/>
      <c r="B315" s="471"/>
      <c r="C315" s="471"/>
      <c r="D315" s="55"/>
      <c r="E315" s="471"/>
      <c r="F315" s="471"/>
      <c r="G315" s="468"/>
      <c r="H315" s="471"/>
      <c r="I315" s="471"/>
    </row>
    <row r="316" spans="1:9" s="1" customFormat="1" ht="15.75" hidden="1" thickBot="1">
      <c r="A316" s="471"/>
      <c r="B316" s="471"/>
      <c r="C316" s="471"/>
      <c r="D316" s="77"/>
      <c r="E316" s="471"/>
      <c r="F316" s="471"/>
      <c r="G316" s="468"/>
      <c r="H316" s="471"/>
      <c r="I316" s="471"/>
    </row>
    <row r="317" spans="1:9">
      <c r="A317" s="470" t="s">
        <v>886</v>
      </c>
      <c r="B317" s="470" t="s">
        <v>729</v>
      </c>
      <c r="C317" s="470" t="s">
        <v>820</v>
      </c>
      <c r="D317" s="470" t="s">
        <v>731</v>
      </c>
      <c r="E317" s="470" t="s">
        <v>740</v>
      </c>
      <c r="F317" s="470" t="s">
        <v>737</v>
      </c>
      <c r="G317" s="467">
        <v>40892</v>
      </c>
      <c r="H317" s="467">
        <v>40977</v>
      </c>
      <c r="I317" s="467">
        <v>40977</v>
      </c>
    </row>
    <row r="318" spans="1:9" s="1" customFormat="1" ht="15.75" hidden="1" thickBot="1">
      <c r="A318" s="471"/>
      <c r="B318" s="471"/>
      <c r="C318" s="471"/>
      <c r="D318" s="471"/>
      <c r="E318" s="471"/>
      <c r="F318" s="471"/>
      <c r="G318" s="468"/>
      <c r="H318" s="468"/>
      <c r="I318" s="468"/>
    </row>
    <row r="319" spans="1:9" s="1" customFormat="1" ht="15.75" hidden="1" thickBot="1">
      <c r="A319" s="471"/>
      <c r="B319" s="471"/>
      <c r="C319" s="471"/>
      <c r="D319" s="471"/>
      <c r="E319" s="471"/>
      <c r="F319" s="471"/>
      <c r="G319" s="468"/>
      <c r="H319" s="468"/>
      <c r="I319" s="468"/>
    </row>
    <row r="320" spans="1:9" s="1" customFormat="1" ht="15.75" hidden="1" thickBot="1">
      <c r="A320" s="472"/>
      <c r="B320" s="472"/>
      <c r="C320" s="472"/>
      <c r="D320" s="472"/>
      <c r="E320" s="472"/>
      <c r="F320" s="472"/>
      <c r="G320" s="469"/>
      <c r="H320" s="469"/>
      <c r="I320" s="469"/>
    </row>
    <row r="321" spans="1:9" s="1" customFormat="1" ht="15.75" hidden="1" thickBot="1">
      <c r="A321" s="474" t="s">
        <v>887</v>
      </c>
      <c r="B321" s="474" t="s">
        <v>729</v>
      </c>
      <c r="C321" s="474" t="s">
        <v>888</v>
      </c>
      <c r="D321" s="474" t="s">
        <v>731</v>
      </c>
      <c r="E321" s="474" t="s">
        <v>762</v>
      </c>
      <c r="F321" s="474" t="s">
        <v>737</v>
      </c>
      <c r="G321" s="473">
        <v>40892</v>
      </c>
      <c r="H321" s="473">
        <v>40980</v>
      </c>
      <c r="I321" s="473">
        <v>40980</v>
      </c>
    </row>
    <row r="322" spans="1:9" s="1" customFormat="1" ht="15.75" hidden="1" thickBot="1">
      <c r="A322" s="471"/>
      <c r="B322" s="471"/>
      <c r="C322" s="471"/>
      <c r="D322" s="471"/>
      <c r="E322" s="471"/>
      <c r="F322" s="471"/>
      <c r="G322" s="468"/>
      <c r="H322" s="468"/>
      <c r="I322" s="468"/>
    </row>
    <row r="323" spans="1:9" s="1" customFormat="1" ht="15.75" hidden="1" thickBot="1">
      <c r="A323" s="471"/>
      <c r="B323" s="471"/>
      <c r="C323" s="471"/>
      <c r="D323" s="471"/>
      <c r="E323" s="471"/>
      <c r="F323" s="471"/>
      <c r="G323" s="468"/>
      <c r="H323" s="468"/>
      <c r="I323" s="468"/>
    </row>
    <row r="324" spans="1:9" s="1" customFormat="1" ht="15.75" hidden="1" thickBot="1">
      <c r="A324" s="471"/>
      <c r="B324" s="471"/>
      <c r="C324" s="471"/>
      <c r="D324" s="471"/>
      <c r="E324" s="471"/>
      <c r="F324" s="471"/>
      <c r="G324" s="468"/>
      <c r="H324" s="468"/>
      <c r="I324" s="468"/>
    </row>
    <row r="325" spans="1:9">
      <c r="A325" s="470" t="s">
        <v>889</v>
      </c>
      <c r="B325" s="470" t="s">
        <v>729</v>
      </c>
      <c r="C325" s="470" t="s">
        <v>860</v>
      </c>
      <c r="D325" s="470" t="s">
        <v>731</v>
      </c>
      <c r="E325" s="470" t="s">
        <v>740</v>
      </c>
      <c r="F325" s="470" t="s">
        <v>737</v>
      </c>
      <c r="G325" s="467">
        <v>40897</v>
      </c>
      <c r="H325" s="467">
        <v>41017</v>
      </c>
      <c r="I325" s="467">
        <v>41017</v>
      </c>
    </row>
    <row r="326" spans="1:9" s="1" customFormat="1" ht="15.75" hidden="1" thickBot="1">
      <c r="A326" s="471"/>
      <c r="B326" s="471"/>
      <c r="C326" s="471"/>
      <c r="D326" s="471"/>
      <c r="E326" s="471"/>
      <c r="F326" s="471"/>
      <c r="G326" s="468"/>
      <c r="H326" s="468"/>
      <c r="I326" s="468"/>
    </row>
    <row r="327" spans="1:9" s="1" customFormat="1" ht="15.75" hidden="1" thickBot="1">
      <c r="A327" s="471"/>
      <c r="B327" s="471"/>
      <c r="C327" s="471"/>
      <c r="D327" s="471"/>
      <c r="E327" s="471"/>
      <c r="F327" s="471"/>
      <c r="G327" s="468"/>
      <c r="H327" s="468"/>
      <c r="I327" s="468"/>
    </row>
    <row r="328" spans="1:9" s="1" customFormat="1" ht="15.75" hidden="1" thickBot="1">
      <c r="A328" s="472"/>
      <c r="B328" s="472"/>
      <c r="C328" s="472"/>
      <c r="D328" s="472"/>
      <c r="E328" s="472"/>
      <c r="F328" s="472"/>
      <c r="G328" s="469"/>
      <c r="H328" s="469"/>
      <c r="I328" s="469"/>
    </row>
    <row r="329" spans="1:9" s="1" customFormat="1" ht="15.75" hidden="1" thickBot="1">
      <c r="A329" s="474" t="s">
        <v>890</v>
      </c>
      <c r="B329" s="474" t="s">
        <v>729</v>
      </c>
      <c r="C329" s="474" t="s">
        <v>735</v>
      </c>
      <c r="D329" s="474" t="s">
        <v>731</v>
      </c>
      <c r="E329" s="474" t="s">
        <v>736</v>
      </c>
      <c r="F329" s="474" t="s">
        <v>737</v>
      </c>
      <c r="G329" s="473">
        <v>40899</v>
      </c>
      <c r="H329" s="473">
        <v>41067</v>
      </c>
      <c r="I329" s="473">
        <v>41067</v>
      </c>
    </row>
    <row r="330" spans="1:9" s="1" customFormat="1" ht="15.75" hidden="1" thickBot="1">
      <c r="A330" s="471"/>
      <c r="B330" s="471"/>
      <c r="C330" s="471"/>
      <c r="D330" s="471"/>
      <c r="E330" s="471"/>
      <c r="F330" s="471"/>
      <c r="G330" s="468"/>
      <c r="H330" s="468"/>
      <c r="I330" s="468"/>
    </row>
    <row r="331" spans="1:9" s="1" customFormat="1" ht="15.75" hidden="1" thickBot="1">
      <c r="A331" s="471"/>
      <c r="B331" s="471"/>
      <c r="C331" s="471"/>
      <c r="D331" s="471"/>
      <c r="E331" s="471"/>
      <c r="F331" s="471"/>
      <c r="G331" s="468"/>
      <c r="H331" s="468"/>
      <c r="I331" s="468"/>
    </row>
    <row r="332" spans="1:9" s="1" customFormat="1" ht="15.75" hidden="1" thickBot="1">
      <c r="A332" s="471"/>
      <c r="B332" s="471"/>
      <c r="C332" s="471"/>
      <c r="D332" s="471"/>
      <c r="E332" s="471"/>
      <c r="F332" s="471"/>
      <c r="G332" s="468"/>
      <c r="H332" s="468"/>
      <c r="I332" s="468"/>
    </row>
    <row r="333" spans="1:9">
      <c r="A333" s="470" t="s">
        <v>891</v>
      </c>
      <c r="B333" s="470" t="s">
        <v>729</v>
      </c>
      <c r="C333" s="470" t="s">
        <v>892</v>
      </c>
      <c r="D333" s="470" t="s">
        <v>731</v>
      </c>
      <c r="E333" s="470" t="s">
        <v>740</v>
      </c>
      <c r="F333" s="470" t="s">
        <v>737</v>
      </c>
      <c r="G333" s="467">
        <v>40900</v>
      </c>
      <c r="H333" s="467">
        <v>41018</v>
      </c>
      <c r="I333" s="467">
        <v>41018</v>
      </c>
    </row>
    <row r="334" spans="1:9" s="1" customFormat="1" ht="15.75" hidden="1" thickBot="1">
      <c r="A334" s="471"/>
      <c r="B334" s="471"/>
      <c r="C334" s="471"/>
      <c r="D334" s="471"/>
      <c r="E334" s="471"/>
      <c r="F334" s="471"/>
      <c r="G334" s="468"/>
      <c r="H334" s="468"/>
      <c r="I334" s="468"/>
    </row>
    <row r="335" spans="1:9" s="1" customFormat="1" ht="15.75" hidden="1" thickBot="1">
      <c r="A335" s="471"/>
      <c r="B335" s="471"/>
      <c r="C335" s="471"/>
      <c r="D335" s="471"/>
      <c r="E335" s="471"/>
      <c r="F335" s="471"/>
      <c r="G335" s="468"/>
      <c r="H335" s="468"/>
      <c r="I335" s="468"/>
    </row>
    <row r="336" spans="1:9" s="1" customFormat="1" ht="15.75" hidden="1" thickBot="1">
      <c r="A336" s="471"/>
      <c r="B336" s="471"/>
      <c r="C336" s="471"/>
      <c r="D336" s="471"/>
      <c r="E336" s="471"/>
      <c r="F336" s="471"/>
      <c r="G336" s="468"/>
      <c r="H336" s="468"/>
      <c r="I336" s="468"/>
    </row>
    <row r="337" spans="1:9">
      <c r="A337" s="470" t="s">
        <v>893</v>
      </c>
      <c r="B337" s="470" t="s">
        <v>894</v>
      </c>
      <c r="C337" s="470" t="s">
        <v>895</v>
      </c>
      <c r="D337" s="365" t="s">
        <v>731</v>
      </c>
      <c r="E337" s="470" t="s">
        <v>740</v>
      </c>
      <c r="F337" s="470" t="s">
        <v>737</v>
      </c>
      <c r="G337" s="467">
        <v>40760</v>
      </c>
      <c r="H337" s="467">
        <v>40877</v>
      </c>
      <c r="I337" s="470"/>
    </row>
    <row r="338" spans="1:9" s="1" customFormat="1" ht="15.75" hidden="1" thickBot="1">
      <c r="A338" s="471"/>
      <c r="B338" s="471"/>
      <c r="C338" s="471"/>
      <c r="D338" s="55" t="s">
        <v>791</v>
      </c>
      <c r="E338" s="471"/>
      <c r="F338" s="471"/>
      <c r="G338" s="468"/>
      <c r="H338" s="468"/>
      <c r="I338" s="471"/>
    </row>
    <row r="339" spans="1:9" s="1" customFormat="1" ht="15.75" hidden="1" thickBot="1">
      <c r="A339" s="471"/>
      <c r="B339" s="471"/>
      <c r="C339" s="471"/>
      <c r="D339" s="55" t="s">
        <v>792</v>
      </c>
      <c r="E339" s="471"/>
      <c r="F339" s="471"/>
      <c r="G339" s="468"/>
      <c r="H339" s="468"/>
      <c r="I339" s="471"/>
    </row>
    <row r="340" spans="1:9" s="1" customFormat="1" ht="15.75" hidden="1" thickBot="1">
      <c r="A340" s="471"/>
      <c r="B340" s="471"/>
      <c r="C340" s="471"/>
      <c r="D340" s="77"/>
      <c r="E340" s="471"/>
      <c r="F340" s="471"/>
      <c r="G340" s="468"/>
      <c r="H340" s="468"/>
      <c r="I340" s="471"/>
    </row>
    <row r="341" spans="1:9">
      <c r="A341" s="470" t="s">
        <v>896</v>
      </c>
      <c r="B341" s="470" t="s">
        <v>897</v>
      </c>
      <c r="C341" s="470" t="s">
        <v>898</v>
      </c>
      <c r="D341" s="365" t="s">
        <v>731</v>
      </c>
      <c r="E341" s="470" t="s">
        <v>740</v>
      </c>
      <c r="F341" s="470" t="s">
        <v>737</v>
      </c>
      <c r="G341" s="467">
        <v>40837</v>
      </c>
      <c r="H341" s="467">
        <v>40896</v>
      </c>
      <c r="I341" s="470"/>
    </row>
    <row r="342" spans="1:9" s="1" customFormat="1" ht="15.75" hidden="1" thickBot="1">
      <c r="A342" s="471"/>
      <c r="B342" s="471"/>
      <c r="C342" s="471"/>
      <c r="D342" s="55" t="s">
        <v>792</v>
      </c>
      <c r="E342" s="471"/>
      <c r="F342" s="471"/>
      <c r="G342" s="468"/>
      <c r="H342" s="468"/>
      <c r="I342" s="471"/>
    </row>
    <row r="343" spans="1:9" s="1" customFormat="1" ht="15.75" hidden="1" thickBot="1">
      <c r="A343" s="471"/>
      <c r="B343" s="471"/>
      <c r="C343" s="471"/>
      <c r="D343" s="55"/>
      <c r="E343" s="471"/>
      <c r="F343" s="471"/>
      <c r="G343" s="468"/>
      <c r="H343" s="468"/>
      <c r="I343" s="471"/>
    </row>
    <row r="344" spans="1:9" s="1" customFormat="1" ht="15.75" hidden="1" thickBot="1">
      <c r="A344" s="471"/>
      <c r="B344" s="471"/>
      <c r="C344" s="471"/>
      <c r="D344" s="77"/>
      <c r="E344" s="471"/>
      <c r="F344" s="471"/>
      <c r="G344" s="468"/>
      <c r="H344" s="468"/>
      <c r="I344" s="471"/>
    </row>
    <row r="345" spans="1:9">
      <c r="A345" s="470" t="s">
        <v>899</v>
      </c>
      <c r="B345" s="470" t="s">
        <v>897</v>
      </c>
      <c r="C345" s="470" t="s">
        <v>900</v>
      </c>
      <c r="D345" s="365" t="s">
        <v>731</v>
      </c>
      <c r="E345" s="470" t="s">
        <v>740</v>
      </c>
      <c r="F345" s="470" t="s">
        <v>737</v>
      </c>
      <c r="G345" s="467">
        <v>40899</v>
      </c>
      <c r="H345" s="467">
        <v>40983</v>
      </c>
      <c r="I345" s="470"/>
    </row>
    <row r="346" spans="1:9" s="1" customFormat="1" ht="15" hidden="1">
      <c r="A346" s="471"/>
      <c r="B346" s="471"/>
      <c r="C346" s="471"/>
      <c r="D346" s="55" t="s">
        <v>792</v>
      </c>
      <c r="E346" s="471"/>
      <c r="F346" s="471"/>
      <c r="G346" s="468"/>
      <c r="H346" s="468"/>
      <c r="I346" s="471"/>
    </row>
    <row r="347" spans="1:9" s="1" customFormat="1" ht="15" hidden="1">
      <c r="A347" s="471"/>
      <c r="B347" s="471"/>
      <c r="C347" s="471"/>
      <c r="D347" s="55"/>
      <c r="E347" s="471"/>
      <c r="F347" s="471"/>
      <c r="G347" s="468"/>
      <c r="H347" s="468"/>
      <c r="I347" s="471"/>
    </row>
    <row r="348" spans="1:9" s="1" customFormat="1" ht="15.75" hidden="1" thickBot="1">
      <c r="A348" s="472"/>
      <c r="B348" s="472"/>
      <c r="C348" s="472"/>
      <c r="D348" s="56"/>
      <c r="E348" s="472"/>
      <c r="F348" s="472"/>
      <c r="G348" s="469"/>
      <c r="H348" s="469"/>
      <c r="I348" s="472"/>
    </row>
    <row r="350" spans="1:9">
      <c r="A350" s="3" t="s">
        <v>901</v>
      </c>
    </row>
    <row r="351" spans="1:9">
      <c r="A351" s="3" t="s">
        <v>654</v>
      </c>
      <c r="C351" s="74">
        <v>12</v>
      </c>
    </row>
    <row r="352" spans="1:9">
      <c r="A352" s="3" t="s">
        <v>1043</v>
      </c>
      <c r="C352" s="74">
        <v>0</v>
      </c>
    </row>
    <row r="353" spans="1:3">
      <c r="A353" s="3" t="s">
        <v>652</v>
      </c>
      <c r="C353" s="74">
        <v>19</v>
      </c>
    </row>
    <row r="354" spans="1:3">
      <c r="A354" s="3" t="s">
        <v>653</v>
      </c>
      <c r="C354" s="74">
        <v>56</v>
      </c>
    </row>
    <row r="356" spans="1:3">
      <c r="A356" s="3" t="s">
        <v>902</v>
      </c>
    </row>
    <row r="357" spans="1:3">
      <c r="A357" s="74" t="s">
        <v>903</v>
      </c>
    </row>
    <row r="358" spans="1:3">
      <c r="A358" s="74" t="s">
        <v>904</v>
      </c>
    </row>
    <row r="359" spans="1:3">
      <c r="A359" s="74" t="s">
        <v>905</v>
      </c>
    </row>
    <row r="360" spans="1:3">
      <c r="A360" s="74" t="s">
        <v>906</v>
      </c>
    </row>
  </sheetData>
  <sheetProtection password="8725" sheet="1" objects="1" scenarios="1"/>
  <autoFilter ref="A1:I348">
    <filterColumn colId="4">
      <filters>
        <filter val="Eastern"/>
        <filter val="London"/>
        <filter val="South Eastern"/>
      </filters>
    </filterColumn>
  </autoFilter>
  <mergeCells count="777">
    <mergeCell ref="G2:G4"/>
    <mergeCell ref="H2:H4"/>
    <mergeCell ref="I2:I4"/>
    <mergeCell ref="A5:A8"/>
    <mergeCell ref="B5:B8"/>
    <mergeCell ref="C5:C8"/>
    <mergeCell ref="D5:D8"/>
    <mergeCell ref="E5:E8"/>
    <mergeCell ref="F5:F8"/>
    <mergeCell ref="G5:G8"/>
    <mergeCell ref="A2:A4"/>
    <mergeCell ref="B2:B4"/>
    <mergeCell ref="C2:C4"/>
    <mergeCell ref="D2:D4"/>
    <mergeCell ref="E2:E4"/>
    <mergeCell ref="F2:F4"/>
    <mergeCell ref="H5:H8"/>
    <mergeCell ref="I5:I8"/>
    <mergeCell ref="A9:A12"/>
    <mergeCell ref="B9:B12"/>
    <mergeCell ref="C9:C12"/>
    <mergeCell ref="D9:D12"/>
    <mergeCell ref="E9:E12"/>
    <mergeCell ref="F9:F12"/>
    <mergeCell ref="G9:G12"/>
    <mergeCell ref="H9:H12"/>
    <mergeCell ref="I9:I12"/>
    <mergeCell ref="A13:A16"/>
    <mergeCell ref="B13:B16"/>
    <mergeCell ref="C13:C16"/>
    <mergeCell ref="D13:D16"/>
    <mergeCell ref="E13:E16"/>
    <mergeCell ref="F13:F16"/>
    <mergeCell ref="G13:G16"/>
    <mergeCell ref="H13:H16"/>
    <mergeCell ref="I13:I16"/>
    <mergeCell ref="G17:G20"/>
    <mergeCell ref="H17:H20"/>
    <mergeCell ref="I17:I20"/>
    <mergeCell ref="A21:A24"/>
    <mergeCell ref="B21:B24"/>
    <mergeCell ref="C21:C24"/>
    <mergeCell ref="D21:D24"/>
    <mergeCell ref="E21:E24"/>
    <mergeCell ref="F21:F24"/>
    <mergeCell ref="G21:G24"/>
    <mergeCell ref="A17:A20"/>
    <mergeCell ref="B17:B20"/>
    <mergeCell ref="C17:C20"/>
    <mergeCell ref="D17:D20"/>
    <mergeCell ref="E17:E20"/>
    <mergeCell ref="F17:F20"/>
    <mergeCell ref="H21:H24"/>
    <mergeCell ref="I21:I24"/>
    <mergeCell ref="A25:A28"/>
    <mergeCell ref="B25:B28"/>
    <mergeCell ref="C25:C28"/>
    <mergeCell ref="D25:D28"/>
    <mergeCell ref="E25:E28"/>
    <mergeCell ref="F25:F28"/>
    <mergeCell ref="G25:G28"/>
    <mergeCell ref="H25:H28"/>
    <mergeCell ref="I25:I28"/>
    <mergeCell ref="A29:A32"/>
    <mergeCell ref="B29:B32"/>
    <mergeCell ref="C29:C32"/>
    <mergeCell ref="D29:D32"/>
    <mergeCell ref="E29:E32"/>
    <mergeCell ref="F29:F32"/>
    <mergeCell ref="G29:G32"/>
    <mergeCell ref="H29:H32"/>
    <mergeCell ref="I29:I32"/>
    <mergeCell ref="G33:G36"/>
    <mergeCell ref="H33:H36"/>
    <mergeCell ref="I33:I36"/>
    <mergeCell ref="A37:A40"/>
    <mergeCell ref="B37:B40"/>
    <mergeCell ref="C37:C40"/>
    <mergeCell ref="D37:D40"/>
    <mergeCell ref="E37:E40"/>
    <mergeCell ref="F37:F40"/>
    <mergeCell ref="G37:G40"/>
    <mergeCell ref="A33:A36"/>
    <mergeCell ref="B33:B36"/>
    <mergeCell ref="C33:C36"/>
    <mergeCell ref="D33:D36"/>
    <mergeCell ref="E33:E36"/>
    <mergeCell ref="F33:F36"/>
    <mergeCell ref="H37:H40"/>
    <mergeCell ref="I37:I40"/>
    <mergeCell ref="A41:A44"/>
    <mergeCell ref="B41:B44"/>
    <mergeCell ref="C41:C44"/>
    <mergeCell ref="D41:D44"/>
    <mergeCell ref="E41:E44"/>
    <mergeCell ref="F41:F44"/>
    <mergeCell ref="G41:G44"/>
    <mergeCell ref="H41:H44"/>
    <mergeCell ref="I41:I44"/>
    <mergeCell ref="A45:A48"/>
    <mergeCell ref="B45:B48"/>
    <mergeCell ref="C45:C48"/>
    <mergeCell ref="D45:D48"/>
    <mergeCell ref="E45:E48"/>
    <mergeCell ref="F45:F48"/>
    <mergeCell ref="G45:G48"/>
    <mergeCell ref="H45:H48"/>
    <mergeCell ref="I45:I48"/>
    <mergeCell ref="G49:G52"/>
    <mergeCell ref="H49:H52"/>
    <mergeCell ref="I49:I52"/>
    <mergeCell ref="A53:A56"/>
    <mergeCell ref="B53:B56"/>
    <mergeCell ref="C53:C56"/>
    <mergeCell ref="D53:D56"/>
    <mergeCell ref="E53:E56"/>
    <mergeCell ref="F53:F56"/>
    <mergeCell ref="G53:G56"/>
    <mergeCell ref="A49:A52"/>
    <mergeCell ref="B49:B52"/>
    <mergeCell ref="C49:C52"/>
    <mergeCell ref="D49:D52"/>
    <mergeCell ref="E49:E52"/>
    <mergeCell ref="F49:F52"/>
    <mergeCell ref="H53:H56"/>
    <mergeCell ref="I53:I56"/>
    <mergeCell ref="A57:A60"/>
    <mergeCell ref="B57:B60"/>
    <mergeCell ref="C57:C60"/>
    <mergeCell ref="D57:D60"/>
    <mergeCell ref="E57:E60"/>
    <mergeCell ref="F57:F60"/>
    <mergeCell ref="G57:G60"/>
    <mergeCell ref="H57:H60"/>
    <mergeCell ref="I57:I60"/>
    <mergeCell ref="A61:A64"/>
    <mergeCell ref="B61:B64"/>
    <mergeCell ref="C61:C64"/>
    <mergeCell ref="D61:D64"/>
    <mergeCell ref="E61:E64"/>
    <mergeCell ref="F61:F64"/>
    <mergeCell ref="G61:G64"/>
    <mergeCell ref="H61:H64"/>
    <mergeCell ref="I61:I64"/>
    <mergeCell ref="G65:G68"/>
    <mergeCell ref="H65:H68"/>
    <mergeCell ref="I65:I68"/>
    <mergeCell ref="A69:A72"/>
    <mergeCell ref="B69:B72"/>
    <mergeCell ref="C69:C72"/>
    <mergeCell ref="D69:D72"/>
    <mergeCell ref="E69:E72"/>
    <mergeCell ref="F69:F72"/>
    <mergeCell ref="G69:G72"/>
    <mergeCell ref="A65:A68"/>
    <mergeCell ref="B65:B68"/>
    <mergeCell ref="C65:C68"/>
    <mergeCell ref="D65:D68"/>
    <mergeCell ref="E65:E68"/>
    <mergeCell ref="F65:F68"/>
    <mergeCell ref="H69:H72"/>
    <mergeCell ref="I69:I72"/>
    <mergeCell ref="A73:A76"/>
    <mergeCell ref="B73:B76"/>
    <mergeCell ref="C73:C76"/>
    <mergeCell ref="D73:D76"/>
    <mergeCell ref="E73:E76"/>
    <mergeCell ref="F73:F76"/>
    <mergeCell ref="G73:G76"/>
    <mergeCell ref="H73:H76"/>
    <mergeCell ref="I73:I76"/>
    <mergeCell ref="A77:A80"/>
    <mergeCell ref="B77:B80"/>
    <mergeCell ref="C77:C80"/>
    <mergeCell ref="D77:D80"/>
    <mergeCell ref="E77:E80"/>
    <mergeCell ref="F77:F80"/>
    <mergeCell ref="G77:G80"/>
    <mergeCell ref="H77:H80"/>
    <mergeCell ref="I77:I80"/>
    <mergeCell ref="G81:G84"/>
    <mergeCell ref="H81:H84"/>
    <mergeCell ref="I81:I84"/>
    <mergeCell ref="A85:A88"/>
    <mergeCell ref="B85:B88"/>
    <mergeCell ref="C85:C88"/>
    <mergeCell ref="D85:D88"/>
    <mergeCell ref="E85:E88"/>
    <mergeCell ref="F85:F88"/>
    <mergeCell ref="G85:G88"/>
    <mergeCell ref="A81:A84"/>
    <mergeCell ref="B81:B84"/>
    <mergeCell ref="C81:C84"/>
    <mergeCell ref="D81:D84"/>
    <mergeCell ref="E81:E84"/>
    <mergeCell ref="F81:F84"/>
    <mergeCell ref="H85:H88"/>
    <mergeCell ref="I85:I88"/>
    <mergeCell ref="A89:A92"/>
    <mergeCell ref="B89:B92"/>
    <mergeCell ref="C89:C92"/>
    <mergeCell ref="D89:D92"/>
    <mergeCell ref="E89:E92"/>
    <mergeCell ref="F89:F92"/>
    <mergeCell ref="G89:G92"/>
    <mergeCell ref="H89:H92"/>
    <mergeCell ref="I89:I92"/>
    <mergeCell ref="A93:A96"/>
    <mergeCell ref="B93:B96"/>
    <mergeCell ref="C93:C96"/>
    <mergeCell ref="D93:D96"/>
    <mergeCell ref="E93:E96"/>
    <mergeCell ref="F93:F96"/>
    <mergeCell ref="G93:G96"/>
    <mergeCell ref="H93:H96"/>
    <mergeCell ref="I93:I96"/>
    <mergeCell ref="G97:G100"/>
    <mergeCell ref="H97:H100"/>
    <mergeCell ref="I97:I100"/>
    <mergeCell ref="A101:A104"/>
    <mergeCell ref="B101:B104"/>
    <mergeCell ref="C101:C104"/>
    <mergeCell ref="D101:D104"/>
    <mergeCell ref="E101:E104"/>
    <mergeCell ref="F101:F104"/>
    <mergeCell ref="G101:G104"/>
    <mergeCell ref="A97:A100"/>
    <mergeCell ref="B97:B100"/>
    <mergeCell ref="C97:C100"/>
    <mergeCell ref="D97:D100"/>
    <mergeCell ref="E97:E100"/>
    <mergeCell ref="F97:F100"/>
    <mergeCell ref="H101:H104"/>
    <mergeCell ref="I101:I104"/>
    <mergeCell ref="I113:I116"/>
    <mergeCell ref="A105:A108"/>
    <mergeCell ref="B105:B108"/>
    <mergeCell ref="C105:C108"/>
    <mergeCell ref="D105:D108"/>
    <mergeCell ref="E105:E108"/>
    <mergeCell ref="F105:F108"/>
    <mergeCell ref="G105:G108"/>
    <mergeCell ref="H105:H108"/>
    <mergeCell ref="I105:I108"/>
    <mergeCell ref="A113:A116"/>
    <mergeCell ref="B113:B116"/>
    <mergeCell ref="C113:C116"/>
    <mergeCell ref="D113:D116"/>
    <mergeCell ref="E113:E116"/>
    <mergeCell ref="F113:F116"/>
    <mergeCell ref="A109:A112"/>
    <mergeCell ref="B109:B112"/>
    <mergeCell ref="C109:C112"/>
    <mergeCell ref="E109:E112"/>
    <mergeCell ref="F109:F112"/>
    <mergeCell ref="G109:G112"/>
    <mergeCell ref="H109:H112"/>
    <mergeCell ref="I109:I112"/>
    <mergeCell ref="G113:G116"/>
    <mergeCell ref="A125:A128"/>
    <mergeCell ref="B125:B128"/>
    <mergeCell ref="C125:C128"/>
    <mergeCell ref="D125:D128"/>
    <mergeCell ref="E125:E128"/>
    <mergeCell ref="F125:F128"/>
    <mergeCell ref="G125:G128"/>
    <mergeCell ref="H125:H128"/>
    <mergeCell ref="C117:C120"/>
    <mergeCell ref="D117:D120"/>
    <mergeCell ref="E117:E120"/>
    <mergeCell ref="F117:F120"/>
    <mergeCell ref="G117:G120"/>
    <mergeCell ref="H113:H116"/>
    <mergeCell ref="I125:I128"/>
    <mergeCell ref="H117:H120"/>
    <mergeCell ref="I117:I120"/>
    <mergeCell ref="A121:A124"/>
    <mergeCell ref="B121:B124"/>
    <mergeCell ref="C121:C124"/>
    <mergeCell ref="D121:D124"/>
    <mergeCell ref="E121:E124"/>
    <mergeCell ref="F121:F124"/>
    <mergeCell ref="G121:G124"/>
    <mergeCell ref="H121:H124"/>
    <mergeCell ref="I121:I124"/>
    <mergeCell ref="A117:A120"/>
    <mergeCell ref="B117:B120"/>
    <mergeCell ref="G129:G132"/>
    <mergeCell ref="H129:H132"/>
    <mergeCell ref="I129:I132"/>
    <mergeCell ref="A133:A136"/>
    <mergeCell ref="B133:B136"/>
    <mergeCell ref="C133:C136"/>
    <mergeCell ref="D133:D136"/>
    <mergeCell ref="E133:E136"/>
    <mergeCell ref="F133:F136"/>
    <mergeCell ref="G133:G136"/>
    <mergeCell ref="A129:A132"/>
    <mergeCell ref="B129:B132"/>
    <mergeCell ref="C129:C132"/>
    <mergeCell ref="D129:D132"/>
    <mergeCell ref="E129:E132"/>
    <mergeCell ref="F129:F132"/>
    <mergeCell ref="H133:H136"/>
    <mergeCell ref="I133:I136"/>
    <mergeCell ref="A137:A140"/>
    <mergeCell ref="B137:B140"/>
    <mergeCell ref="C137:C140"/>
    <mergeCell ref="D137:D140"/>
    <mergeCell ref="E137:E140"/>
    <mergeCell ref="F137:F140"/>
    <mergeCell ref="G137:G140"/>
    <mergeCell ref="H137:H140"/>
    <mergeCell ref="I137:I140"/>
    <mergeCell ref="A141:A144"/>
    <mergeCell ref="B141:B144"/>
    <mergeCell ref="C141:C144"/>
    <mergeCell ref="D141:D144"/>
    <mergeCell ref="E141:E144"/>
    <mergeCell ref="F141:F144"/>
    <mergeCell ref="G141:G144"/>
    <mergeCell ref="H141:H144"/>
    <mergeCell ref="I141:I144"/>
    <mergeCell ref="G145:G148"/>
    <mergeCell ref="H145:H148"/>
    <mergeCell ref="I145:I148"/>
    <mergeCell ref="A149:A152"/>
    <mergeCell ref="B149:B152"/>
    <mergeCell ref="C149:C152"/>
    <mergeCell ref="D149:D152"/>
    <mergeCell ref="E149:E152"/>
    <mergeCell ref="F149:F152"/>
    <mergeCell ref="G149:G152"/>
    <mergeCell ref="A145:A148"/>
    <mergeCell ref="B145:B148"/>
    <mergeCell ref="C145:C148"/>
    <mergeCell ref="D145:D148"/>
    <mergeCell ref="E145:E148"/>
    <mergeCell ref="F145:F148"/>
    <mergeCell ref="H149:H152"/>
    <mergeCell ref="I149:I152"/>
    <mergeCell ref="A153:A156"/>
    <mergeCell ref="B153:B156"/>
    <mergeCell ref="C153:C156"/>
    <mergeCell ref="D153:D156"/>
    <mergeCell ref="E153:E156"/>
    <mergeCell ref="F153:F156"/>
    <mergeCell ref="G153:G156"/>
    <mergeCell ref="H153:H156"/>
    <mergeCell ref="I153:I156"/>
    <mergeCell ref="A157:A160"/>
    <mergeCell ref="B157:B160"/>
    <mergeCell ref="C157:C160"/>
    <mergeCell ref="D157:D160"/>
    <mergeCell ref="E157:E160"/>
    <mergeCell ref="F157:F160"/>
    <mergeCell ref="G157:G160"/>
    <mergeCell ref="H157:H160"/>
    <mergeCell ref="I157:I160"/>
    <mergeCell ref="G161:G164"/>
    <mergeCell ref="H161:H164"/>
    <mergeCell ref="I161:I164"/>
    <mergeCell ref="A165:A168"/>
    <mergeCell ref="B165:B168"/>
    <mergeCell ref="C165:C168"/>
    <mergeCell ref="D165:D168"/>
    <mergeCell ref="E165:E168"/>
    <mergeCell ref="F165:F168"/>
    <mergeCell ref="G165:G168"/>
    <mergeCell ref="A161:A164"/>
    <mergeCell ref="B161:B164"/>
    <mergeCell ref="C161:C164"/>
    <mergeCell ref="D161:D164"/>
    <mergeCell ref="E161:E164"/>
    <mergeCell ref="F161:F164"/>
    <mergeCell ref="H165:H168"/>
    <mergeCell ref="I165:I168"/>
    <mergeCell ref="A169:A172"/>
    <mergeCell ref="B169:B172"/>
    <mergeCell ref="C169:C172"/>
    <mergeCell ref="D169:D172"/>
    <mergeCell ref="E169:E172"/>
    <mergeCell ref="F169:F172"/>
    <mergeCell ref="G169:G172"/>
    <mergeCell ref="H169:H172"/>
    <mergeCell ref="I169:I172"/>
    <mergeCell ref="A173:A176"/>
    <mergeCell ref="B173:B176"/>
    <mergeCell ref="C173:C176"/>
    <mergeCell ref="D173:D176"/>
    <mergeCell ref="E173:E176"/>
    <mergeCell ref="F173:F176"/>
    <mergeCell ref="G173:G176"/>
    <mergeCell ref="H173:H176"/>
    <mergeCell ref="I173:I176"/>
    <mergeCell ref="G177:G180"/>
    <mergeCell ref="H177:H180"/>
    <mergeCell ref="I177:I180"/>
    <mergeCell ref="A181:A184"/>
    <mergeCell ref="B181:B184"/>
    <mergeCell ref="C181:C184"/>
    <mergeCell ref="D181:D184"/>
    <mergeCell ref="E181:E184"/>
    <mergeCell ref="F181:F184"/>
    <mergeCell ref="G181:G184"/>
    <mergeCell ref="A177:A180"/>
    <mergeCell ref="B177:B180"/>
    <mergeCell ref="C177:C180"/>
    <mergeCell ref="D177:D180"/>
    <mergeCell ref="E177:E180"/>
    <mergeCell ref="F177:F180"/>
    <mergeCell ref="H181:H184"/>
    <mergeCell ref="I181:I184"/>
    <mergeCell ref="A185:A188"/>
    <mergeCell ref="B185:B188"/>
    <mergeCell ref="C185:C188"/>
    <mergeCell ref="D185:D188"/>
    <mergeCell ref="E185:E188"/>
    <mergeCell ref="F185:F188"/>
    <mergeCell ref="G185:G188"/>
    <mergeCell ref="H185:H188"/>
    <mergeCell ref="I185:I188"/>
    <mergeCell ref="A189:A192"/>
    <mergeCell ref="B189:B192"/>
    <mergeCell ref="C189:C192"/>
    <mergeCell ref="D189:D192"/>
    <mergeCell ref="E189:E192"/>
    <mergeCell ref="F189:F192"/>
    <mergeCell ref="G189:G192"/>
    <mergeCell ref="H189:H192"/>
    <mergeCell ref="I189:I192"/>
    <mergeCell ref="G193:G196"/>
    <mergeCell ref="H193:H196"/>
    <mergeCell ref="I193:I196"/>
    <mergeCell ref="A197:A200"/>
    <mergeCell ref="B197:B200"/>
    <mergeCell ref="C197:C200"/>
    <mergeCell ref="D197:D200"/>
    <mergeCell ref="E197:E200"/>
    <mergeCell ref="F197:F200"/>
    <mergeCell ref="G197:G200"/>
    <mergeCell ref="A193:A196"/>
    <mergeCell ref="B193:B196"/>
    <mergeCell ref="C193:C196"/>
    <mergeCell ref="D193:D196"/>
    <mergeCell ref="E193:E196"/>
    <mergeCell ref="F193:F196"/>
    <mergeCell ref="H197:H200"/>
    <mergeCell ref="I197:I200"/>
    <mergeCell ref="A201:A204"/>
    <mergeCell ref="B201:B204"/>
    <mergeCell ref="C201:C204"/>
    <mergeCell ref="D201:D204"/>
    <mergeCell ref="E201:E204"/>
    <mergeCell ref="F201:F204"/>
    <mergeCell ref="G201:G204"/>
    <mergeCell ref="H201:H204"/>
    <mergeCell ref="I201:I204"/>
    <mergeCell ref="A205:A208"/>
    <mergeCell ref="B205:B208"/>
    <mergeCell ref="C205:C208"/>
    <mergeCell ref="D205:D208"/>
    <mergeCell ref="E205:E208"/>
    <mergeCell ref="F205:F208"/>
    <mergeCell ref="G205:G208"/>
    <mergeCell ref="H205:H208"/>
    <mergeCell ref="I205:I208"/>
    <mergeCell ref="G209:G212"/>
    <mergeCell ref="H209:H212"/>
    <mergeCell ref="I209:I212"/>
    <mergeCell ref="A213:A216"/>
    <mergeCell ref="B213:B216"/>
    <mergeCell ref="C213:C216"/>
    <mergeCell ref="D213:D216"/>
    <mergeCell ref="E213:E216"/>
    <mergeCell ref="F213:F216"/>
    <mergeCell ref="G213:G216"/>
    <mergeCell ref="A209:A212"/>
    <mergeCell ref="B209:B212"/>
    <mergeCell ref="C209:C212"/>
    <mergeCell ref="D209:D212"/>
    <mergeCell ref="E209:E212"/>
    <mergeCell ref="F209:F212"/>
    <mergeCell ref="H213:H216"/>
    <mergeCell ref="I213:I216"/>
    <mergeCell ref="A217:A220"/>
    <mergeCell ref="B217:B220"/>
    <mergeCell ref="C217:C220"/>
    <mergeCell ref="D217:D220"/>
    <mergeCell ref="E217:E220"/>
    <mergeCell ref="F217:F220"/>
    <mergeCell ref="G217:G220"/>
    <mergeCell ref="H217:H220"/>
    <mergeCell ref="I217:I220"/>
    <mergeCell ref="A221:A224"/>
    <mergeCell ref="B221:B224"/>
    <mergeCell ref="C221:C224"/>
    <mergeCell ref="D221:D224"/>
    <mergeCell ref="E221:E224"/>
    <mergeCell ref="F221:F224"/>
    <mergeCell ref="G221:G224"/>
    <mergeCell ref="H221:H224"/>
    <mergeCell ref="I221:I224"/>
    <mergeCell ref="G225:G228"/>
    <mergeCell ref="H225:H228"/>
    <mergeCell ref="I225:I228"/>
    <mergeCell ref="A229:A232"/>
    <mergeCell ref="B229:B232"/>
    <mergeCell ref="C229:C232"/>
    <mergeCell ref="D229:D232"/>
    <mergeCell ref="E229:E232"/>
    <mergeCell ref="F229:F232"/>
    <mergeCell ref="G229:G232"/>
    <mergeCell ref="A225:A228"/>
    <mergeCell ref="B225:B228"/>
    <mergeCell ref="C225:C228"/>
    <mergeCell ref="D225:D228"/>
    <mergeCell ref="E225:E228"/>
    <mergeCell ref="F225:F228"/>
    <mergeCell ref="H229:H232"/>
    <mergeCell ref="I229:I232"/>
    <mergeCell ref="A233:A236"/>
    <mergeCell ref="B233:B236"/>
    <mergeCell ref="C233:C236"/>
    <mergeCell ref="D233:D236"/>
    <mergeCell ref="E233:E236"/>
    <mergeCell ref="F233:F236"/>
    <mergeCell ref="G233:G236"/>
    <mergeCell ref="H233:H236"/>
    <mergeCell ref="I233:I236"/>
    <mergeCell ref="A237:A240"/>
    <mergeCell ref="B237:B240"/>
    <mergeCell ref="C237:C240"/>
    <mergeCell ref="D237:D240"/>
    <mergeCell ref="E237:E240"/>
    <mergeCell ref="F237:F240"/>
    <mergeCell ref="G237:G240"/>
    <mergeCell ref="H237:H240"/>
    <mergeCell ref="I237:I240"/>
    <mergeCell ref="G241:G244"/>
    <mergeCell ref="H241:H244"/>
    <mergeCell ref="I241:I244"/>
    <mergeCell ref="A245:A248"/>
    <mergeCell ref="B245:B248"/>
    <mergeCell ref="C245:C248"/>
    <mergeCell ref="D245:D248"/>
    <mergeCell ref="E245:E248"/>
    <mergeCell ref="F245:F248"/>
    <mergeCell ref="G245:G248"/>
    <mergeCell ref="A241:A244"/>
    <mergeCell ref="B241:B244"/>
    <mergeCell ref="C241:C244"/>
    <mergeCell ref="D241:D244"/>
    <mergeCell ref="E241:E244"/>
    <mergeCell ref="F241:F244"/>
    <mergeCell ref="H245:H248"/>
    <mergeCell ref="I245:I248"/>
    <mergeCell ref="A249:A252"/>
    <mergeCell ref="B249:B252"/>
    <mergeCell ref="C249:C252"/>
    <mergeCell ref="D249:D252"/>
    <mergeCell ref="E249:E252"/>
    <mergeCell ref="F249:F252"/>
    <mergeCell ref="G249:G252"/>
    <mergeCell ref="H249:H252"/>
    <mergeCell ref="I249:I252"/>
    <mergeCell ref="A253:A256"/>
    <mergeCell ref="B253:B256"/>
    <mergeCell ref="C253:C256"/>
    <mergeCell ref="D253:D256"/>
    <mergeCell ref="E253:E256"/>
    <mergeCell ref="F253:F256"/>
    <mergeCell ref="G253:G256"/>
    <mergeCell ref="H253:H256"/>
    <mergeCell ref="I253:I256"/>
    <mergeCell ref="G257:G260"/>
    <mergeCell ref="H257:H260"/>
    <mergeCell ref="I257:I260"/>
    <mergeCell ref="A261:A264"/>
    <mergeCell ref="B261:B264"/>
    <mergeCell ref="C261:C264"/>
    <mergeCell ref="D261:D264"/>
    <mergeCell ref="E261:E264"/>
    <mergeCell ref="F261:F264"/>
    <mergeCell ref="G261:G264"/>
    <mergeCell ref="A257:A260"/>
    <mergeCell ref="B257:B260"/>
    <mergeCell ref="C257:C260"/>
    <mergeCell ref="D257:D260"/>
    <mergeCell ref="E257:E260"/>
    <mergeCell ref="F257:F260"/>
    <mergeCell ref="H261:H264"/>
    <mergeCell ref="I261:I264"/>
    <mergeCell ref="A265:A268"/>
    <mergeCell ref="B265:B268"/>
    <mergeCell ref="C265:C268"/>
    <mergeCell ref="D265:D268"/>
    <mergeCell ref="E265:E268"/>
    <mergeCell ref="F265:F268"/>
    <mergeCell ref="G265:G268"/>
    <mergeCell ref="H265:H268"/>
    <mergeCell ref="I265:I268"/>
    <mergeCell ref="A269:A272"/>
    <mergeCell ref="B269:B272"/>
    <mergeCell ref="C269:C272"/>
    <mergeCell ref="D269:D272"/>
    <mergeCell ref="E269:E272"/>
    <mergeCell ref="F269:F272"/>
    <mergeCell ref="G269:G272"/>
    <mergeCell ref="H269:H272"/>
    <mergeCell ref="I269:I272"/>
    <mergeCell ref="H273:H276"/>
    <mergeCell ref="I273:I276"/>
    <mergeCell ref="A277:A280"/>
    <mergeCell ref="B277:B280"/>
    <mergeCell ref="C277:C280"/>
    <mergeCell ref="D277:D280"/>
    <mergeCell ref="E277:E280"/>
    <mergeCell ref="F277:F280"/>
    <mergeCell ref="G277:G280"/>
    <mergeCell ref="H277:H280"/>
    <mergeCell ref="A273:A276"/>
    <mergeCell ref="B273:B276"/>
    <mergeCell ref="C273:C276"/>
    <mergeCell ref="E273:E276"/>
    <mergeCell ref="F273:F276"/>
    <mergeCell ref="G273:G276"/>
    <mergeCell ref="I277:I280"/>
    <mergeCell ref="A281:A284"/>
    <mergeCell ref="B281:B284"/>
    <mergeCell ref="C281:C284"/>
    <mergeCell ref="D281:D284"/>
    <mergeCell ref="E281:E284"/>
    <mergeCell ref="F281:F284"/>
    <mergeCell ref="G281:G284"/>
    <mergeCell ref="H281:H284"/>
    <mergeCell ref="I281:I284"/>
    <mergeCell ref="G285:G288"/>
    <mergeCell ref="H285:H288"/>
    <mergeCell ref="I285:I288"/>
    <mergeCell ref="A289:A292"/>
    <mergeCell ref="B289:B292"/>
    <mergeCell ref="C289:C292"/>
    <mergeCell ref="D289:D292"/>
    <mergeCell ref="E289:E292"/>
    <mergeCell ref="F289:F292"/>
    <mergeCell ref="G289:G292"/>
    <mergeCell ref="A285:A288"/>
    <mergeCell ref="B285:B288"/>
    <mergeCell ref="C285:C288"/>
    <mergeCell ref="D285:D288"/>
    <mergeCell ref="E285:E288"/>
    <mergeCell ref="F285:F288"/>
    <mergeCell ref="H289:H292"/>
    <mergeCell ref="I289:I292"/>
    <mergeCell ref="A293:A296"/>
    <mergeCell ref="B293:B296"/>
    <mergeCell ref="C293:C296"/>
    <mergeCell ref="D293:D296"/>
    <mergeCell ref="E293:E296"/>
    <mergeCell ref="F293:F296"/>
    <mergeCell ref="G293:G296"/>
    <mergeCell ref="H293:H296"/>
    <mergeCell ref="I293:I296"/>
    <mergeCell ref="A297:A300"/>
    <mergeCell ref="B297:B300"/>
    <mergeCell ref="C297:C300"/>
    <mergeCell ref="D297:D300"/>
    <mergeCell ref="E297:E300"/>
    <mergeCell ref="F297:F300"/>
    <mergeCell ref="G297:G300"/>
    <mergeCell ref="H297:H300"/>
    <mergeCell ref="I297:I300"/>
    <mergeCell ref="G301:G304"/>
    <mergeCell ref="H301:H304"/>
    <mergeCell ref="I301:I304"/>
    <mergeCell ref="A305:A308"/>
    <mergeCell ref="B305:B308"/>
    <mergeCell ref="C305:C308"/>
    <mergeCell ref="D305:D308"/>
    <mergeCell ref="E305:E308"/>
    <mergeCell ref="F305:F308"/>
    <mergeCell ref="G305:G308"/>
    <mergeCell ref="A301:A304"/>
    <mergeCell ref="B301:B304"/>
    <mergeCell ref="C301:C304"/>
    <mergeCell ref="D301:D304"/>
    <mergeCell ref="E301:E304"/>
    <mergeCell ref="F301:F304"/>
    <mergeCell ref="H305:H308"/>
    <mergeCell ref="I305:I308"/>
    <mergeCell ref="I317:I320"/>
    <mergeCell ref="A309:A312"/>
    <mergeCell ref="B309:B312"/>
    <mergeCell ref="C309:C312"/>
    <mergeCell ref="D309:D312"/>
    <mergeCell ref="E309:E312"/>
    <mergeCell ref="F309:F312"/>
    <mergeCell ref="G309:G312"/>
    <mergeCell ref="H309:H312"/>
    <mergeCell ref="I309:I312"/>
    <mergeCell ref="A317:A320"/>
    <mergeCell ref="B317:B320"/>
    <mergeCell ref="C317:C320"/>
    <mergeCell ref="D317:D320"/>
    <mergeCell ref="E317:E320"/>
    <mergeCell ref="F317:F320"/>
    <mergeCell ref="A313:A316"/>
    <mergeCell ref="B313:B316"/>
    <mergeCell ref="C313:C316"/>
    <mergeCell ref="E313:E316"/>
    <mergeCell ref="F313:F316"/>
    <mergeCell ref="G313:G316"/>
    <mergeCell ref="H313:H316"/>
    <mergeCell ref="I313:I316"/>
    <mergeCell ref="G317:G320"/>
    <mergeCell ref="A329:A332"/>
    <mergeCell ref="B329:B332"/>
    <mergeCell ref="C329:C332"/>
    <mergeCell ref="D329:D332"/>
    <mergeCell ref="E329:E332"/>
    <mergeCell ref="F329:F332"/>
    <mergeCell ref="G329:G332"/>
    <mergeCell ref="H329:H332"/>
    <mergeCell ref="C321:C324"/>
    <mergeCell ref="D321:D324"/>
    <mergeCell ref="E321:E324"/>
    <mergeCell ref="F321:F324"/>
    <mergeCell ref="G321:G324"/>
    <mergeCell ref="H317:H320"/>
    <mergeCell ref="I329:I332"/>
    <mergeCell ref="H321:H324"/>
    <mergeCell ref="I321:I324"/>
    <mergeCell ref="A325:A328"/>
    <mergeCell ref="B325:B328"/>
    <mergeCell ref="C325:C328"/>
    <mergeCell ref="D325:D328"/>
    <mergeCell ref="E325:E328"/>
    <mergeCell ref="F325:F328"/>
    <mergeCell ref="G325:G328"/>
    <mergeCell ref="H325:H328"/>
    <mergeCell ref="I325:I328"/>
    <mergeCell ref="A321:A324"/>
    <mergeCell ref="B321:B324"/>
    <mergeCell ref="G333:G336"/>
    <mergeCell ref="H333:H336"/>
    <mergeCell ref="I333:I336"/>
    <mergeCell ref="A337:A340"/>
    <mergeCell ref="B337:B340"/>
    <mergeCell ref="C337:C340"/>
    <mergeCell ref="E337:E340"/>
    <mergeCell ref="F337:F340"/>
    <mergeCell ref="G337:G340"/>
    <mergeCell ref="H337:H340"/>
    <mergeCell ref="A333:A336"/>
    <mergeCell ref="B333:B336"/>
    <mergeCell ref="C333:C336"/>
    <mergeCell ref="D333:D336"/>
    <mergeCell ref="E333:E336"/>
    <mergeCell ref="F333:F336"/>
    <mergeCell ref="H345:H348"/>
    <mergeCell ref="I345:I348"/>
    <mergeCell ref="A345:A348"/>
    <mergeCell ref="B345:B348"/>
    <mergeCell ref="C345:C348"/>
    <mergeCell ref="E345:E348"/>
    <mergeCell ref="F345:F348"/>
    <mergeCell ref="G345:G348"/>
    <mergeCell ref="I337:I340"/>
    <mergeCell ref="A341:A344"/>
    <mergeCell ref="B341:B344"/>
    <mergeCell ref="C341:C344"/>
    <mergeCell ref="E341:E344"/>
    <mergeCell ref="F341:F344"/>
    <mergeCell ref="G341:G344"/>
    <mergeCell ref="H341:H344"/>
    <mergeCell ref="I341:I34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11</vt:i4>
      </vt:variant>
      <vt:variant>
        <vt:lpstr>Named Ranges</vt:lpstr>
      </vt:variant>
      <vt:variant>
        <vt:i4>2</vt:i4>
      </vt:variant>
    </vt:vector>
  </HeadingPairs>
  <TitlesOfParts>
    <vt:vector size="13" baseType="lpstr">
      <vt:lpstr>Contents</vt:lpstr>
      <vt:lpstr>Scenario 1 Assumptions</vt:lpstr>
      <vt:lpstr>Scenario 1 Calculations</vt:lpstr>
      <vt:lpstr>Scenario 2 Assumptions</vt:lpstr>
      <vt:lpstr>Scenario 2 Calculations</vt:lpstr>
      <vt:lpstr>Best-estimate</vt:lpstr>
      <vt:lpstr>Industry Assumptions</vt:lpstr>
      <vt:lpstr>Industry Calculations</vt:lpstr>
      <vt:lpstr>No. port. appl. MMO</vt:lpstr>
      <vt:lpstr>Ports within 5km rMCZ</vt:lpstr>
      <vt:lpstr>Sheet1</vt:lpstr>
      <vt:lpstr>'Scenario 1 Assumptions'!Print_Area</vt:lpstr>
      <vt:lpstr>'Scenario 1 Calculations'!Print_Area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M291374</cp:lastModifiedBy>
  <cp:lastPrinted>2012-03-08T15:12:25Z</cp:lastPrinted>
  <dcterms:created xsi:type="dcterms:W3CDTF">2011-10-14T15:10:10Z</dcterms:created>
  <dcterms:modified xsi:type="dcterms:W3CDTF">2012-07-19T08:21:16Z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2107811195</vt:i4>
  </property>
  <property fmtid="{D5CDD505-2E9C-101B-9397-08002B2CF9AE}" pid="3" name="_NewReviewCycle">
    <vt:lpwstr/>
  </property>
  <property fmtid="{D5CDD505-2E9C-101B-9397-08002B2CF9AE}" pid="4" name="_EmailSubject">
    <vt:lpwstr/>
  </property>
  <property fmtid="{D5CDD505-2E9C-101B-9397-08002B2CF9AE}" pid="5" name="_AuthorEmail">
    <vt:lpwstr>Carolyn.Worfolk@naturalengland.org.uk</vt:lpwstr>
  </property>
  <property fmtid="{D5CDD505-2E9C-101B-9397-08002B2CF9AE}" pid="6" name="_AuthorEmailDisplayName">
    <vt:lpwstr>Worfolk, Carolyn (NE)</vt:lpwstr>
  </property>
  <property fmtid="{D5CDD505-2E9C-101B-9397-08002B2CF9AE}" pid="7" name="_ReviewingToolsShownOnce">
    <vt:lpwstr/>
  </property>
</Properties>
</file>